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1125" windowWidth="9720" windowHeight="7320" tabRatio="692" firstSheet="2" activeTab="2"/>
  </bookViews>
  <sheets>
    <sheet name="Änderungen" sheetId="1" state="hidden" r:id="rId1"/>
    <sheet name="Anleitung" sheetId="2" state="hidden" r:id="rId2"/>
    <sheet name="Gesamtergebnis" sheetId="3" r:id="rId3"/>
    <sheet name="Einzelergebnisse" sheetId="4" r:id="rId4"/>
    <sheet name="MANNSCHAFTEN+SPIELER" sheetId="5" state="hidden" r:id="rId5"/>
    <sheet name="Dialog" sheetId="6" state="hidden" r:id="rId6"/>
    <sheet name="Dialog2" sheetId="7" state="hidden" r:id="rId7"/>
    <sheet name="Dialog3" sheetId="8" state="hidden" r:id="rId8"/>
    <sheet name="übertrag" sheetId="9" state="hidden" r:id="rId9"/>
    <sheet name="Passnr" sheetId="10" state="hidden" r:id="rId10"/>
  </sheets>
  <definedNames>
    <definedName name="_xlnm._FilterDatabase" localSheetId="4" hidden="1">'MANNSCHAFTEN+SPIELER'!$A$2:$V$238</definedName>
    <definedName name="_xlnm._FilterDatabase" localSheetId="9" hidden="1">'Passnr'!$A$4:$K$124</definedName>
    <definedName name="_xlfn.SUMIFS" hidden="1">#NAME?</definedName>
    <definedName name="acht">'MANNSCHAFTEN+SPIELER'!$H$154:$H$175</definedName>
    <definedName name="achtü">'MANNSCHAFTEN+SPIELER'!$G$154:$H$175</definedName>
    <definedName name="drei">'MANNSCHAFTEN+SPIELER'!$H$48:$H$68</definedName>
    <definedName name="dreiü">'MANNSCHAFTEN+SPIELER'!$G$48:$H$68</definedName>
    <definedName name="_xlnm.Print_Area" localSheetId="3">'Einzelergebnisse'!$A$1:$M$37</definedName>
    <definedName name="_xlnm.Print_Area" localSheetId="2">'Gesamtergebnis'!$A$1:$AO$26</definedName>
    <definedName name="eins">'MANNSCHAFTEN+SPIELER'!$H$4:$H$25</definedName>
    <definedName name="einsü">'MANNSCHAFTEN+SPIELER'!$G$4:$H$25</definedName>
    <definedName name="elf">'MANNSCHAFTEN+SPIELER'!$H$218:$H$238</definedName>
    <definedName name="elfü">'MANNSCHAFTEN+SPIELER'!$G$218:$H$238</definedName>
    <definedName name="fünf">'MANNSCHAFTEN+SPIELER'!$H$91:$H$111</definedName>
    <definedName name="fünfü">'MANNSCHAFTEN+SPIELER'!$G$91:$H$111</definedName>
    <definedName name="Gastmannschaft">'übertrag'!$U$2:$V$15</definedName>
    <definedName name="Heim">'MANNSCHAFTEN+SPIELER'!$V$4:$V$45</definedName>
    <definedName name="Heimü">'MANNSCHAFTEN+SPIELER'!$U$4:$V$45</definedName>
    <definedName name="JaNein" localSheetId="4">'MANNSCHAFTEN+SPIELER'!$I$16:$J$26</definedName>
    <definedName name="JaNein">'MANNSCHAFTEN+SPIELER'!$I$16:$J$26</definedName>
    <definedName name="jhg1">'MANNSCHAFTEN+SPIELER'!$C$4:$D$25</definedName>
    <definedName name="jhg10">'MANNSCHAFTEN+SPIELER'!$C$197:$D$217</definedName>
    <definedName name="jhg11">'MANNSCHAFTEN+SPIELER'!$C$218:$D$238</definedName>
    <definedName name="jhg2">'MANNSCHAFTEN+SPIELER'!$C$26:$D$47</definedName>
    <definedName name="jhg3">'MANNSCHAFTEN+SPIELER'!$C$48:$D$68</definedName>
    <definedName name="jhg4">'MANNSCHAFTEN+SPIELER'!$C$69:$D$90</definedName>
    <definedName name="jhg5">'MANNSCHAFTEN+SPIELER'!$C$91:$D$111</definedName>
    <definedName name="jhg6">'MANNSCHAFTEN+SPIELER'!$C$112:$D$132</definedName>
    <definedName name="jhg7">'MANNSCHAFTEN+SPIELER'!$C$133:$D$153</definedName>
    <definedName name="jhg8">'MANNSCHAFTEN+SPIELER'!$C$154:$D$175</definedName>
    <definedName name="jhg9">'MANNSCHAFTEN+SPIELER'!$C$176:$D$196</definedName>
    <definedName name="jhgheim">'MANNSCHAFTEN+SPIELER'!$Q$4:$R$45</definedName>
    <definedName name="neun">'MANNSCHAFTEN+SPIELER'!$H$176:$H$196</definedName>
    <definedName name="neunü">'MANNSCHAFTEN+SPIELER'!$G$176:$H$196</definedName>
    <definedName name="paß1">'MANNSCHAFTEN+SPIELER'!$E$4:$F$25</definedName>
    <definedName name="paß10">'MANNSCHAFTEN+SPIELER'!$E$197:$F$217</definedName>
    <definedName name="paß11">'MANNSCHAFTEN+SPIELER'!$E$218:$F$238</definedName>
    <definedName name="paß2">'MANNSCHAFTEN+SPIELER'!$E$26:$F$47</definedName>
    <definedName name="paß3">'MANNSCHAFTEN+SPIELER'!$E$48:$F$68</definedName>
    <definedName name="paß4">'MANNSCHAFTEN+SPIELER'!$E$69:$F$90</definedName>
    <definedName name="paß5">'MANNSCHAFTEN+SPIELER'!$E$91:$F$111</definedName>
    <definedName name="paß6">'MANNSCHAFTEN+SPIELER'!$E$112:$F$132</definedName>
    <definedName name="paß7">'MANNSCHAFTEN+SPIELER'!$E$133:$F$153</definedName>
    <definedName name="paß8">'MANNSCHAFTEN+SPIELER'!$E$154:$F$175</definedName>
    <definedName name="paß9">'MANNSCHAFTEN+SPIELER'!$E$176:$F$196</definedName>
    <definedName name="paßheim">'MANNSCHAFTEN+SPIELER'!$S$4:$T$45</definedName>
    <definedName name="Platzziffer">'MANNSCHAFTEN+SPIELER'!$M$16:$N$33</definedName>
    <definedName name="sechs">'MANNSCHAFTEN+SPIELER'!$H$112:$H$132</definedName>
    <definedName name="sechsü">'MANNSCHAFTEN+SPIELER'!$G$112:$H$132</definedName>
    <definedName name="sieben">'MANNSCHAFTEN+SPIELER'!$H$133:$H$153</definedName>
    <definedName name="siebenü">'MANNSCHAFTEN+SPIELER'!$G$133:$H$153</definedName>
    <definedName name="Sverweis">#REF!</definedName>
    <definedName name="vier">'MANNSCHAFTEN+SPIELER'!$H$69:$H$90</definedName>
    <definedName name="vierü">'MANNSCHAFTEN+SPIELER'!$G$69:$H$90</definedName>
    <definedName name="zehn">'MANNSCHAFTEN+SPIELER'!$H$197:$H$217</definedName>
    <definedName name="zehnü">'MANNSCHAFTEN+SPIELER'!$G$197:$H$217</definedName>
    <definedName name="zwei">'MANNSCHAFTEN+SPIELER'!$H$26:$H$47</definedName>
    <definedName name="zweiü">'MANNSCHAFTEN+SPIELER'!$G$26:$H$47</definedName>
  </definedNames>
  <calcPr fullCalcOnLoad="1"/>
</workbook>
</file>

<file path=xl/comments9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<sst xmlns="http://schemas.openxmlformats.org/spreadsheetml/2006/main" count="1285" uniqueCount="668">
  <si>
    <t>Paß-     Nummer</t>
  </si>
  <si>
    <t>Name</t>
  </si>
  <si>
    <t>KLUBSPIEL</t>
  </si>
  <si>
    <t>HERREN</t>
  </si>
  <si>
    <t>Datum:</t>
  </si>
  <si>
    <t>POKALSPIEL</t>
  </si>
  <si>
    <t>DAMEN</t>
  </si>
  <si>
    <t>Spielende:</t>
  </si>
  <si>
    <t>Fehler</t>
  </si>
  <si>
    <t>Gesamt</t>
  </si>
  <si>
    <t>Abräumen</t>
  </si>
  <si>
    <t>Ja</t>
  </si>
  <si>
    <t>Nein</t>
  </si>
  <si>
    <t>1) Bahn/Kugelmaterial in Ordnung</t>
  </si>
  <si>
    <t>2) Pässe in Ordnung</t>
  </si>
  <si>
    <t>3) Protest</t>
  </si>
  <si>
    <t>Anlagen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</si>
  <si>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</si>
  <si>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</si>
  <si>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</si>
  <si>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</si>
  <si>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</si>
  <si>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</si>
  <si>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</si>
  <si>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</si>
  <si>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</si>
  <si>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</si>
  <si>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</si>
  <si>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</si>
  <si>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</si>
  <si>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</si>
  <si>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</si>
  <si>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</si>
  <si>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</si>
  <si>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</si>
  <si>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</si>
  <si>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</si>
  <si>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Ort:</t>
  </si>
  <si>
    <t>Bahnanlage:</t>
  </si>
  <si>
    <t>Spielbeginn:</t>
  </si>
  <si>
    <t>Klasse:</t>
  </si>
  <si>
    <t>Pass-Nr.</t>
  </si>
  <si>
    <t>Name Vorname</t>
  </si>
  <si>
    <t>Mon/Jahr</t>
  </si>
  <si>
    <t>Name, Vorname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</si>
  <si>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</si>
  <si>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</si>
  <si>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</si>
  <si>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</si>
  <si>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</si>
  <si>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</si>
  <si>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</si>
  <si>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</si>
  <si>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</si>
  <si>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</si>
  <si>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</si>
  <si>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</si>
  <si>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</si>
  <si>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</si>
  <si>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CLUB / Verein</t>
  </si>
  <si>
    <t>Gastmannschaften</t>
  </si>
  <si>
    <t>Heimmannschaft</t>
  </si>
  <si>
    <t>Bemerkungen zu:</t>
  </si>
  <si>
    <t>6) Auswechslungen</t>
  </si>
  <si>
    <r>
      <t xml:space="preserve">Spielbericht </t>
    </r>
    <r>
      <rPr>
        <sz val="36"/>
        <rFont val="Arial"/>
        <family val="2"/>
      </rPr>
      <t xml:space="preserve"> </t>
    </r>
    <r>
      <rPr>
        <sz val="18"/>
        <rFont val="Arial"/>
        <family val="2"/>
      </rPr>
      <t>Classic</t>
    </r>
  </si>
  <si>
    <t>Schiedsrichter/Spielleiter:</t>
  </si>
  <si>
    <t>Schiedsrichter/Spielleiter O.K.</t>
  </si>
  <si>
    <t>4) Verletzung/</t>
  </si>
  <si>
    <t>5) Werbung</t>
  </si>
  <si>
    <t xml:space="preserve">   Verwarnung</t>
  </si>
  <si>
    <r>
      <t>Spielleiter:</t>
    </r>
    <r>
      <rPr>
        <sz val="11"/>
        <rFont val="Arial"/>
        <family val="2"/>
      </rPr>
      <t xml:space="preserve">   </t>
    </r>
  </si>
  <si>
    <t>Rusek, Heinz</t>
  </si>
  <si>
    <t>KC Hau Druff Worms</t>
  </si>
  <si>
    <t>Dittrich, Tanja</t>
  </si>
  <si>
    <t>Bendl, Otto</t>
  </si>
  <si>
    <t>Schübeler, Elisabeth</t>
  </si>
  <si>
    <t>König, Otto</t>
  </si>
  <si>
    <t>Ammon, Petra</t>
  </si>
  <si>
    <t>Heiselbetz, Ernst</t>
  </si>
  <si>
    <t xml:space="preserve">Spiel: </t>
  </si>
  <si>
    <t>Edelbacher, Ute</t>
  </si>
  <si>
    <t>Heimann, Jürgen</t>
  </si>
  <si>
    <t>Metzner, Jürgen</t>
  </si>
  <si>
    <t>Heimann, Christel</t>
  </si>
  <si>
    <t>Martic, Branko</t>
  </si>
  <si>
    <t>KC Voll Druff Kirrlach</t>
  </si>
  <si>
    <t>Schwarz, Helmut</t>
  </si>
  <si>
    <t>Götz, Doris</t>
  </si>
  <si>
    <t>Gurka, Hans</t>
  </si>
  <si>
    <t>Wittemaier, Erwin</t>
  </si>
  <si>
    <t>Rolli, Marina</t>
  </si>
  <si>
    <t>Berlinghof, Dieter</t>
  </si>
  <si>
    <t>Handschuh, Manfred</t>
  </si>
  <si>
    <t>Dittrich, Klaus</t>
  </si>
  <si>
    <t>Rupprecht, Herbert</t>
  </si>
  <si>
    <t>Rupprecht, Rita</t>
  </si>
  <si>
    <t>Dittrich, Waltraud</t>
  </si>
  <si>
    <t>Gäbert, Rainer</t>
  </si>
  <si>
    <t>Böhm, Thomas</t>
  </si>
  <si>
    <t>Stelter, Lisa</t>
  </si>
  <si>
    <t>Kellner, Andreas</t>
  </si>
  <si>
    <t>Quehl, Frank</t>
  </si>
  <si>
    <t>Calvo, Eduardo</t>
  </si>
  <si>
    <t>Calvo, Daniel</t>
  </si>
  <si>
    <t>Weber, Gabi</t>
  </si>
  <si>
    <t>Weber, Willi</t>
  </si>
  <si>
    <t>Schefczik, Michael</t>
  </si>
  <si>
    <t>Fuchs, Günter</t>
  </si>
  <si>
    <t>Gast</t>
  </si>
  <si>
    <t>Spiel</t>
  </si>
  <si>
    <t>Kegelanlage</t>
  </si>
  <si>
    <t>Waldhof</t>
  </si>
  <si>
    <t>Sportpark TV 1877</t>
  </si>
  <si>
    <t>Mehr als 5 Spieler</t>
  </si>
  <si>
    <t xml:space="preserve">Fehler </t>
  </si>
  <si>
    <r>
      <t>Nebenrechnung</t>
    </r>
    <r>
      <rPr>
        <sz val="10"/>
        <rFont val="Arial"/>
        <family val="0"/>
      </rPr>
      <t xml:space="preserve"> (Prüfung; Streichergebnis bei mehr als 5 Spieler, Bei 2 Streichergebnisses nach Abräumen und Fehler)</t>
    </r>
  </si>
  <si>
    <t>Wenn mehr als 6 Spieler teilnehmen, wird das Ergebnis des Spielers 7 zum Minimum addiert</t>
  </si>
  <si>
    <t>Alle Felder prüfen</t>
  </si>
  <si>
    <t>Ändern:</t>
  </si>
  <si>
    <t>Spiel-Nummer</t>
  </si>
  <si>
    <t>Namen der Spieler auswählen</t>
  </si>
  <si>
    <t>Anmerkungen:</t>
  </si>
  <si>
    <t>Arbeitsblatt</t>
  </si>
  <si>
    <t>Volle, Fehler, Gesamt</t>
  </si>
  <si>
    <t>bitte 7 Spieler einfügen !</t>
  </si>
  <si>
    <t>Auswechlung:</t>
  </si>
  <si>
    <t>Eingabe:</t>
  </si>
  <si>
    <t>Spielergebnis des Spielers 7 wird nicht addiert, da die Summe in das Minimum Ergebnis addiert ist und wird wird nicht gestrichen!</t>
  </si>
  <si>
    <t>Anleitung</t>
  </si>
  <si>
    <t>Neu eingefügt</t>
  </si>
  <si>
    <t>Eingabe Button</t>
  </si>
  <si>
    <t>Kegelanlage ergänzt</t>
  </si>
  <si>
    <t>Spieltag gegen Spielnummer ersetzt</t>
  </si>
  <si>
    <t>Heimmannschaft ergänzt</t>
  </si>
  <si>
    <t>Mit dieser Änderung kann für alle Mannschaften das selbe Template verwendet werden</t>
  </si>
  <si>
    <t xml:space="preserve">Summenfelder geändert </t>
  </si>
  <si>
    <t>Es werden alle Spieler addiert, wenn weniger als 6 Spieler eingetragen sind</t>
  </si>
  <si>
    <t>Ermittlung Streichergebnisses:</t>
  </si>
  <si>
    <t>Bei 7 Spiele (Auswechslung) wird das Ergebnis des Spieler 7 zum Minumum der anderen 6 Spieler addiert</t>
  </si>
  <si>
    <t>Minimum Spieler 1-6</t>
  </si>
  <si>
    <t>bei 2 Streichergebnissen und gleichen Fehlwürfen Anzahl der Fehler</t>
  </si>
  <si>
    <t>Blatt wird nach der Prüfung gelöscht oder ausgeblendet!</t>
  </si>
  <si>
    <t>Die "verborgenen" Blätter können mit Format\Blatt\einblenden angezeeigt werden, dazu bitte auf die Reiter eines Tabellenblattes klicken</t>
  </si>
  <si>
    <t>BkBV</t>
  </si>
  <si>
    <t>MANNSCHAFT&amp;SPIELER</t>
  </si>
  <si>
    <t>Daten der Heimmannschaft werden aus dem Eingabe-Buttom ermittelt (Übertrag auf Tabellenblatt MANNSCHAFT+SPIELER mit Sverweis)</t>
  </si>
  <si>
    <t>Nur Bedienungsanleitung</t>
  </si>
  <si>
    <t>bei 2 Streichergebnissen Anzahl der Fehlwürfe</t>
  </si>
  <si>
    <r>
      <t xml:space="preserve">grüne Felder </t>
    </r>
    <r>
      <rPr>
        <b/>
        <sz val="10"/>
        <rFont val="Arial"/>
        <family val="2"/>
      </rPr>
      <t>müssen</t>
    </r>
    <r>
      <rPr>
        <sz val="10"/>
        <rFont val="Arial"/>
        <family val="0"/>
      </rPr>
      <t xml:space="preserve"> geändert werden</t>
    </r>
  </si>
  <si>
    <t>Bitte prüfen und um Anmerkungen</t>
  </si>
  <si>
    <t>Gruß</t>
  </si>
  <si>
    <t>Andreas</t>
  </si>
  <si>
    <t>Die Streichergebnisse werden mit einer bedingten Formatierung rot und durchgestrichen markiert</t>
  </si>
  <si>
    <t>Tabellenblatt:</t>
  </si>
  <si>
    <t>nur anklicken, es wird das Tagesdatum gesetzt</t>
  </si>
  <si>
    <t>nur anklicken, es wird die aktuelle Uhrzeit gesetzt</t>
  </si>
  <si>
    <t>Sonst manuell Eingabe in Spalte AQ oder AR</t>
  </si>
  <si>
    <t>Streichergebniss manuell setzen</t>
  </si>
  <si>
    <t>Bei gleichem Streichergebnis, gleichem Abräumen und gleichen Fehlern, im Feld AQ oder AR "x" setzen</t>
  </si>
  <si>
    <t xml:space="preserve">Datei ist eine Excel - Tabelle mit Visual Basic Befehlen und Dialog-Befehlen, schwierig Änderungen nachzuführen. </t>
  </si>
  <si>
    <t>Datei Speichern</t>
  </si>
  <si>
    <t>Datei unter der Spielnummer als Spiel00.xls speichern</t>
  </si>
  <si>
    <t>Streichergeb. manuell setzen</t>
  </si>
  <si>
    <t>TV Rheinau</t>
  </si>
  <si>
    <t>Kurczyk, Bernd</t>
  </si>
  <si>
    <t>Schmitt, Heinz</t>
  </si>
  <si>
    <t>Drescher, Roswitha</t>
  </si>
  <si>
    <t>Rheinauer Ring 81-83</t>
  </si>
  <si>
    <t>Rheinau</t>
  </si>
  <si>
    <t>100 Wurf                                200 Wurf</t>
  </si>
  <si>
    <t>Freizeitliga  FKV Baden</t>
  </si>
  <si>
    <t>D059000</t>
  </si>
  <si>
    <t>D025889</t>
  </si>
  <si>
    <t>D059011</t>
  </si>
  <si>
    <t>D059009</t>
  </si>
  <si>
    <t>D059008</t>
  </si>
  <si>
    <t>D025890</t>
  </si>
  <si>
    <t>D059007</t>
  </si>
  <si>
    <t>D059005</t>
  </si>
  <si>
    <t>D086000</t>
  </si>
  <si>
    <t>D059051</t>
  </si>
  <si>
    <t>D026693</t>
  </si>
  <si>
    <t>D026794</t>
  </si>
  <si>
    <t>Körner, Sigrid</t>
  </si>
  <si>
    <t>Streib, Edwin</t>
  </si>
  <si>
    <t>D059019</t>
  </si>
  <si>
    <t>D059014</t>
  </si>
  <si>
    <t>D092000</t>
  </si>
  <si>
    <t>D059006</t>
  </si>
  <si>
    <t>D059001</t>
  </si>
  <si>
    <t>Berlinghof, Annett</t>
  </si>
  <si>
    <t>Ulrich, Christian</t>
  </si>
  <si>
    <t>Ulrich, Matthias</t>
  </si>
  <si>
    <t>D092082</t>
  </si>
  <si>
    <t>Schmitt, Rolf</t>
  </si>
  <si>
    <t>Schneider, Jens</t>
  </si>
  <si>
    <t>D059024</t>
  </si>
  <si>
    <t>D059025</t>
  </si>
  <si>
    <t>Godulla, Daniel</t>
  </si>
  <si>
    <t>Lampertheim</t>
  </si>
  <si>
    <t>Biedensandhalle</t>
  </si>
  <si>
    <t>D099412</t>
  </si>
  <si>
    <t>D120134</t>
  </si>
  <si>
    <t>D120103</t>
  </si>
  <si>
    <t>D120130</t>
  </si>
  <si>
    <t>D120127</t>
  </si>
  <si>
    <t>D120131</t>
  </si>
  <si>
    <t>D120118</t>
  </si>
  <si>
    <t>D120132</t>
  </si>
  <si>
    <t>D092043</t>
  </si>
  <si>
    <t>D120129</t>
  </si>
  <si>
    <t>D120119</t>
  </si>
  <si>
    <t>D120133</t>
  </si>
  <si>
    <t>D120108</t>
  </si>
  <si>
    <t>D120144</t>
  </si>
  <si>
    <t>D059045</t>
  </si>
  <si>
    <t>D120116</t>
  </si>
  <si>
    <t>D120126</t>
  </si>
  <si>
    <t>D120101</t>
  </si>
  <si>
    <t>D120122</t>
  </si>
  <si>
    <t>D120121</t>
  </si>
  <si>
    <t>D120115</t>
  </si>
  <si>
    <t>D120104</t>
  </si>
  <si>
    <t>D120114</t>
  </si>
  <si>
    <t>D120113</t>
  </si>
  <si>
    <t>D120123</t>
  </si>
  <si>
    <t>D120124</t>
  </si>
  <si>
    <t>D120128</t>
  </si>
  <si>
    <t>D059050</t>
  </si>
  <si>
    <t>D120135</t>
  </si>
  <si>
    <t>D120136</t>
  </si>
  <si>
    <t>D059027</t>
  </si>
  <si>
    <t>D120112</t>
  </si>
  <si>
    <t>D120107</t>
  </si>
  <si>
    <t>D120106</t>
  </si>
  <si>
    <t>D059034</t>
  </si>
  <si>
    <t>D059035</t>
  </si>
  <si>
    <t>D120105</t>
  </si>
  <si>
    <t>D120109</t>
  </si>
  <si>
    <t>D120102</t>
  </si>
  <si>
    <t>D120110</t>
  </si>
  <si>
    <t>D120137</t>
  </si>
  <si>
    <t>D120138</t>
  </si>
  <si>
    <t>D120117</t>
  </si>
  <si>
    <t>D059037</t>
  </si>
  <si>
    <t>D120125</t>
  </si>
  <si>
    <t>D059048</t>
  </si>
  <si>
    <t>D059049</t>
  </si>
  <si>
    <t>D059029</t>
  </si>
  <si>
    <t>D059047</t>
  </si>
  <si>
    <t>D059046</t>
  </si>
  <si>
    <t>D059031</t>
  </si>
  <si>
    <t>D120120</t>
  </si>
  <si>
    <t>D120143</t>
  </si>
  <si>
    <t>D120142</t>
  </si>
  <si>
    <t>D120141</t>
  </si>
  <si>
    <t>D120140</t>
  </si>
  <si>
    <t>D120111</t>
  </si>
  <si>
    <t>D092042</t>
  </si>
  <si>
    <t>D092038</t>
  </si>
  <si>
    <t>D092041</t>
  </si>
  <si>
    <t>D092039</t>
  </si>
  <si>
    <t>Freizeitkegler-Vereinigung Baden e.V.  Neue Pässe</t>
  </si>
  <si>
    <r>
      <rPr>
        <b/>
        <sz val="9"/>
        <rFont val="Arial"/>
        <family val="2"/>
      </rPr>
      <t>Club</t>
    </r>
  </si>
  <si>
    <t>Name - Vorname</t>
  </si>
  <si>
    <r>
      <rPr>
        <sz val="10"/>
        <rFont val="Arial"/>
        <family val="2"/>
      </rPr>
      <t>W</t>
    </r>
  </si>
  <si>
    <t>Anforderung</t>
  </si>
  <si>
    <r>
      <rPr>
        <sz val="10"/>
        <rFont val="Arial"/>
        <family val="2"/>
      </rPr>
      <t>M</t>
    </r>
  </si>
  <si>
    <t>Bild Neu</t>
  </si>
  <si>
    <r>
      <rPr>
        <sz val="9.5"/>
        <rFont val="Arial"/>
        <family val="2"/>
      </rPr>
      <t>SG Stern Mannheim</t>
    </r>
  </si>
  <si>
    <t>Ammon Petra</t>
  </si>
  <si>
    <t>x</t>
  </si>
  <si>
    <t>Bauer Jürgen</t>
  </si>
  <si>
    <t>Bauer Peter</t>
  </si>
  <si>
    <t>M</t>
  </si>
  <si>
    <r>
      <rPr>
        <sz val="9"/>
        <rFont val="Arial"/>
        <family val="2"/>
      </rPr>
      <t>TV Rheinau</t>
    </r>
  </si>
  <si>
    <t>Baust Bernd</t>
  </si>
  <si>
    <t>Bendl Otto</t>
  </si>
  <si>
    <t>Bendl Waltraud</t>
  </si>
  <si>
    <t>Berlinghof Annett</t>
  </si>
  <si>
    <t>W</t>
  </si>
  <si>
    <t>Berlinghof Dieter</t>
  </si>
  <si>
    <r>
      <rPr>
        <sz val="8"/>
        <rFont val="Arial"/>
        <family val="2"/>
      </rPr>
      <t>KC Familienbande Eppelheim</t>
    </r>
  </si>
  <si>
    <t>Böhm Sibylle</t>
  </si>
  <si>
    <t>Böhm Thomas</t>
  </si>
  <si>
    <r>
      <rPr>
        <sz val="9.5"/>
        <rFont val="Arial"/>
        <family val="2"/>
      </rPr>
      <t>Los Ninos Eppelheim</t>
    </r>
  </si>
  <si>
    <t>Calvo Daniel</t>
  </si>
  <si>
    <t>Calvo Eduardo</t>
  </si>
  <si>
    <t>D059020</t>
  </si>
  <si>
    <t>Dittrich Alexander</t>
  </si>
  <si>
    <t>Dittrich Hans-Jürgen</t>
  </si>
  <si>
    <t>Dittrich Klaus</t>
  </si>
  <si>
    <r>
      <rPr>
        <sz val="9"/>
        <rFont val="Arial"/>
        <family val="2"/>
      </rPr>
      <t>SG Stern Mannheim</t>
    </r>
  </si>
  <si>
    <t>Dittrich Silvia</t>
  </si>
  <si>
    <t>Dittrich Tanja</t>
  </si>
  <si>
    <t>Dittrich Waltraud</t>
  </si>
  <si>
    <t>Drescher Andreas</t>
  </si>
  <si>
    <t>Drescher Roswitha</t>
  </si>
  <si>
    <t>Dumath Joachim</t>
  </si>
  <si>
    <t>Edelbacher Ute</t>
  </si>
  <si>
    <t>D059023</t>
  </si>
  <si>
    <r>
      <rPr>
        <sz val="9.5"/>
        <rFont val="Arial"/>
        <family val="2"/>
      </rPr>
      <t>KC Attacke Wertheim</t>
    </r>
  </si>
  <si>
    <t>Fleischmann Werner</t>
  </si>
  <si>
    <t>D059038</t>
  </si>
  <si>
    <t>Fuchs Günter</t>
  </si>
  <si>
    <t>Gäbert Rainer</t>
  </si>
  <si>
    <t>Pass fehlt</t>
  </si>
  <si>
    <t>Geiger Anni</t>
  </si>
  <si>
    <t>Godulla Daniel</t>
  </si>
  <si>
    <t>Götz Doris</t>
  </si>
  <si>
    <t>Gurka Hans</t>
  </si>
  <si>
    <t>Handschuh Manfred</t>
  </si>
  <si>
    <t>Handschuh Sabine</t>
  </si>
  <si>
    <t>Heimann Christel</t>
  </si>
  <si>
    <t>Heimann Jürgen</t>
  </si>
  <si>
    <t>Heinfling Klaus</t>
  </si>
  <si>
    <t>D059039</t>
  </si>
  <si>
    <t>Heiselbetz Ernst</t>
  </si>
  <si>
    <r>
      <rPr>
        <sz val="8"/>
        <rFont val="Arial"/>
        <family val="2"/>
      </rPr>
      <t>Holpernde Bande Kronau</t>
    </r>
  </si>
  <si>
    <t>Helgert Thorsten</t>
  </si>
  <si>
    <t>D059015</t>
  </si>
  <si>
    <t>Hofbauer Helmut</t>
  </si>
  <si>
    <t>D059040</t>
  </si>
  <si>
    <t>Hofbauer Karin</t>
  </si>
  <si>
    <t>D005941</t>
  </si>
  <si>
    <t>Huck Walter</t>
  </si>
  <si>
    <t>Illig Rainer</t>
  </si>
  <si>
    <t>Jakob Jens</t>
  </si>
  <si>
    <t>D059016</t>
  </si>
  <si>
    <t>Jakob Ludwig</t>
  </si>
  <si>
    <t>D059036</t>
  </si>
  <si>
    <t>Jakob Mario</t>
  </si>
  <si>
    <t>D059012</t>
  </si>
  <si>
    <t>Jung-Kirner Barbara</t>
  </si>
  <si>
    <t>D120139</t>
  </si>
  <si>
    <t>Kark Karl-Heinz</t>
  </si>
  <si>
    <t>Kaufhold Heidi</t>
  </si>
  <si>
    <t>Kellner Andreas</t>
  </si>
  <si>
    <t>Kiessling Werner</t>
  </si>
  <si>
    <t>D059042</t>
  </si>
  <si>
    <t>König Otto</t>
  </si>
  <si>
    <t>Körner Sigrid</t>
  </si>
  <si>
    <t>Krauß Gerd</t>
  </si>
  <si>
    <t>Kuhnle Ulrich</t>
  </si>
  <si>
    <t>Kurczyk Bernd</t>
  </si>
  <si>
    <t>Laub Edgar</t>
  </si>
  <si>
    <t>Laub Rita</t>
  </si>
  <si>
    <t>Martic Branko</t>
  </si>
  <si>
    <t>Mayer Karl</t>
  </si>
  <si>
    <t>Megner Heidi</t>
  </si>
  <si>
    <t>Megner Ralf</t>
  </si>
  <si>
    <t>Metz Josef</t>
  </si>
  <si>
    <t>Metzner Jürgen</t>
  </si>
  <si>
    <t>Mews Marco</t>
  </si>
  <si>
    <t>Milwa Peter</t>
  </si>
  <si>
    <t>Müller Gerhard</t>
  </si>
  <si>
    <t>Müller Peter</t>
  </si>
  <si>
    <t>Poletar Stefan</t>
  </si>
  <si>
    <t>Quehl Frank</t>
  </si>
  <si>
    <t>Rolli Marina</t>
  </si>
  <si>
    <t>Rupprecht Herbert</t>
  </si>
  <si>
    <t>Rupprecht Rita</t>
  </si>
  <si>
    <t>Rusek Heinz</t>
  </si>
  <si>
    <t>Sapper Gemma</t>
  </si>
  <si>
    <t>Sapper Wilfried</t>
  </si>
  <si>
    <t>Sauer Henry</t>
  </si>
  <si>
    <t>Schefczik Michael</t>
  </si>
  <si>
    <t>Schibitzki Inge</t>
  </si>
  <si>
    <t>Schmitt Heinz</t>
  </si>
  <si>
    <t>Schmitt Rolf</t>
  </si>
  <si>
    <t>Schneider Jens</t>
  </si>
  <si>
    <t>Schöninger Wolf-Dieter</t>
  </si>
  <si>
    <t>D059026</t>
  </si>
  <si>
    <t>Schübeler Elisabeth</t>
  </si>
  <si>
    <t>Schübeler Uwe</t>
  </si>
  <si>
    <t>Schwarz Helmut</t>
  </si>
  <si>
    <t>Sommer Anita</t>
  </si>
  <si>
    <t>D059043</t>
  </si>
  <si>
    <t>Sommer Meinhard</t>
  </si>
  <si>
    <t>D059044</t>
  </si>
  <si>
    <t>Steinbrecher Doris</t>
  </si>
  <si>
    <t>Stelter Lisa</t>
  </si>
  <si>
    <t>Streib Edwin</t>
  </si>
  <si>
    <t>Ulrich Christian</t>
  </si>
  <si>
    <t>Ulrich Matthias</t>
  </si>
  <si>
    <t>Weber Gabi</t>
  </si>
  <si>
    <t>Weber Willi</t>
  </si>
  <si>
    <t>Weckner Thomas</t>
  </si>
  <si>
    <t>Wenzel Maria</t>
  </si>
  <si>
    <t>Wittemaier Erwin</t>
  </si>
  <si>
    <t>Würz Raimund</t>
  </si>
  <si>
    <t>Ammon</t>
  </si>
  <si>
    <t>Petra</t>
  </si>
  <si>
    <t>Bauer</t>
  </si>
  <si>
    <t>Jürgen</t>
  </si>
  <si>
    <t>Peter</t>
  </si>
  <si>
    <t>Baust</t>
  </si>
  <si>
    <t>Bernd</t>
  </si>
  <si>
    <t>Bendl</t>
  </si>
  <si>
    <t>Otto</t>
  </si>
  <si>
    <t>Waltraud</t>
  </si>
  <si>
    <t>Berlinghof</t>
  </si>
  <si>
    <t>Annett</t>
  </si>
  <si>
    <t>Dieter</t>
  </si>
  <si>
    <t>Böhm</t>
  </si>
  <si>
    <t>Sibylle</t>
  </si>
  <si>
    <t>Thomas</t>
  </si>
  <si>
    <t>Nadine</t>
  </si>
  <si>
    <t>Calvo</t>
  </si>
  <si>
    <t>Daniel</t>
  </si>
  <si>
    <t>Eduardo</t>
  </si>
  <si>
    <t>Dittrich</t>
  </si>
  <si>
    <t>Alexander</t>
  </si>
  <si>
    <t>Hans-Jürgen</t>
  </si>
  <si>
    <t>Klaus</t>
  </si>
  <si>
    <t>Silvia</t>
  </si>
  <si>
    <t>Tanja</t>
  </si>
  <si>
    <t>Drescher</t>
  </si>
  <si>
    <t>Roswitha</t>
  </si>
  <si>
    <t>Dumath</t>
  </si>
  <si>
    <t>Joachim</t>
  </si>
  <si>
    <t>Edelbacher</t>
  </si>
  <si>
    <t>Ute</t>
  </si>
  <si>
    <t>Fleischmann</t>
  </si>
  <si>
    <t>Werner</t>
  </si>
  <si>
    <t>Fuchs</t>
  </si>
  <si>
    <t>Günter</t>
  </si>
  <si>
    <t>Gäbert</t>
  </si>
  <si>
    <t>Rainer</t>
  </si>
  <si>
    <t>Geiger</t>
  </si>
  <si>
    <t>Anni</t>
  </si>
  <si>
    <t>Godulla</t>
  </si>
  <si>
    <t>Götz</t>
  </si>
  <si>
    <t>Doris</t>
  </si>
  <si>
    <t>Gurka</t>
  </si>
  <si>
    <t>Hans</t>
  </si>
  <si>
    <t>Handschuh</t>
  </si>
  <si>
    <t>Manfred</t>
  </si>
  <si>
    <t>Sabine</t>
  </si>
  <si>
    <t>Heimann</t>
  </si>
  <si>
    <t>Christel</t>
  </si>
  <si>
    <t>Heinfling</t>
  </si>
  <si>
    <t>Heiselbetz</t>
  </si>
  <si>
    <t>Ernst</t>
  </si>
  <si>
    <t>Helgert</t>
  </si>
  <si>
    <t>Thorsten</t>
  </si>
  <si>
    <t>Hofbauer</t>
  </si>
  <si>
    <t>Helmut</t>
  </si>
  <si>
    <t>Karin</t>
  </si>
  <si>
    <t>Huck</t>
  </si>
  <si>
    <t>Walter</t>
  </si>
  <si>
    <t>Illig</t>
  </si>
  <si>
    <t>Jakob</t>
  </si>
  <si>
    <t>Jens</t>
  </si>
  <si>
    <t>Ludwig</t>
  </si>
  <si>
    <t>Mario</t>
  </si>
  <si>
    <t>Jung-Kirner</t>
  </si>
  <si>
    <t>Barbara</t>
  </si>
  <si>
    <t>Kark</t>
  </si>
  <si>
    <t>Karl-Heinz</t>
  </si>
  <si>
    <t>Kaufhold</t>
  </si>
  <si>
    <t>Heidi</t>
  </si>
  <si>
    <t>Kellner</t>
  </si>
  <si>
    <t>Kiessling</t>
  </si>
  <si>
    <t>König</t>
  </si>
  <si>
    <t>Körner</t>
  </si>
  <si>
    <t>Sigrid</t>
  </si>
  <si>
    <t>Krauß</t>
  </si>
  <si>
    <t>Gerd</t>
  </si>
  <si>
    <t>Kuhnle</t>
  </si>
  <si>
    <t>Ulrich</t>
  </si>
  <si>
    <t>Kurczyk</t>
  </si>
  <si>
    <t>Laub</t>
  </si>
  <si>
    <t>Edgar</t>
  </si>
  <si>
    <t>Rita</t>
  </si>
  <si>
    <t>Martic</t>
  </si>
  <si>
    <t>Branko</t>
  </si>
  <si>
    <t>Mayer</t>
  </si>
  <si>
    <t>Karl</t>
  </si>
  <si>
    <t>Megner</t>
  </si>
  <si>
    <t>Ralf</t>
  </si>
  <si>
    <t>Metz</t>
  </si>
  <si>
    <t>Josef</t>
  </si>
  <si>
    <t>Metzner</t>
  </si>
  <si>
    <t>Mews</t>
  </si>
  <si>
    <t>Marco</t>
  </si>
  <si>
    <t>Milwa</t>
  </si>
  <si>
    <t>Müller</t>
  </si>
  <si>
    <t>Gerhard</t>
  </si>
  <si>
    <t>Jessica</t>
  </si>
  <si>
    <t>Poletar</t>
  </si>
  <si>
    <t>Stefan</t>
  </si>
  <si>
    <t>Quehl</t>
  </si>
  <si>
    <t>Frank</t>
  </si>
  <si>
    <t>Rolli</t>
  </si>
  <si>
    <t>Marina</t>
  </si>
  <si>
    <t>Rupprecht</t>
  </si>
  <si>
    <t>Herbert</t>
  </si>
  <si>
    <t>Rusek</t>
  </si>
  <si>
    <t>Heinz</t>
  </si>
  <si>
    <t>Sapper</t>
  </si>
  <si>
    <t>Gemma</t>
  </si>
  <si>
    <t>Wilfried</t>
  </si>
  <si>
    <t>Sauer</t>
  </si>
  <si>
    <t>Henry</t>
  </si>
  <si>
    <t>Schefczik</t>
  </si>
  <si>
    <t>Michael</t>
  </si>
  <si>
    <t>Schibitzki</t>
  </si>
  <si>
    <t>Inge</t>
  </si>
  <si>
    <t>Schmitt</t>
  </si>
  <si>
    <t>Rolf</t>
  </si>
  <si>
    <t>Schneider</t>
  </si>
  <si>
    <t>Schöninger</t>
  </si>
  <si>
    <t>Wolf-Dieter</t>
  </si>
  <si>
    <t>Schübeler</t>
  </si>
  <si>
    <t>Elisabeth</t>
  </si>
  <si>
    <t>Uwe</t>
  </si>
  <si>
    <t>Schwarz</t>
  </si>
  <si>
    <t>Sommer</t>
  </si>
  <si>
    <t>Anita</t>
  </si>
  <si>
    <t>Meinhard</t>
  </si>
  <si>
    <t>Steinbrecher</t>
  </si>
  <si>
    <t>Stelter</t>
  </si>
  <si>
    <t>Lisa</t>
  </si>
  <si>
    <t>Streib</t>
  </si>
  <si>
    <t>Edwin</t>
  </si>
  <si>
    <t>Christian</t>
  </si>
  <si>
    <t>Matthias</t>
  </si>
  <si>
    <t>Weber</t>
  </si>
  <si>
    <t>Gabi</t>
  </si>
  <si>
    <t>Willi</t>
  </si>
  <si>
    <t>Weckner</t>
  </si>
  <si>
    <t>Wenzel</t>
  </si>
  <si>
    <t>Maria</t>
  </si>
  <si>
    <t>Wittemaier</t>
  </si>
  <si>
    <t>Erwin</t>
  </si>
  <si>
    <t>Würz</t>
  </si>
  <si>
    <t>Raimund</t>
  </si>
  <si>
    <t>Wenzel, Maria</t>
  </si>
  <si>
    <t xml:space="preserve">  Freizeitkegler</t>
  </si>
  <si>
    <t xml:space="preserve"> </t>
  </si>
  <si>
    <t>Datum des geplant angesetzten Spieles</t>
  </si>
  <si>
    <t>D120146</t>
  </si>
  <si>
    <t>D120145</t>
  </si>
  <si>
    <t>Meister, Uwe</t>
  </si>
  <si>
    <t>Helmrich, Benjamin</t>
  </si>
  <si>
    <t>Haag, Helge</t>
  </si>
  <si>
    <t>Friedl, Traudl</t>
  </si>
  <si>
    <t>D120151</t>
  </si>
  <si>
    <t>D120152</t>
  </si>
  <si>
    <t>D120154</t>
  </si>
  <si>
    <t>Rusakiwicz, Janek</t>
  </si>
  <si>
    <t>D120156</t>
  </si>
  <si>
    <t>D120158</t>
  </si>
  <si>
    <t>D120164</t>
  </si>
  <si>
    <t>Ulrich, Kurt</t>
  </si>
  <si>
    <t>D120168</t>
  </si>
  <si>
    <t>D120171</t>
  </si>
  <si>
    <t>Rupprecht, Markus</t>
  </si>
  <si>
    <t>Böhm, Sibylle</t>
  </si>
  <si>
    <t>Eppelheim</t>
  </si>
  <si>
    <t>Classic Arena</t>
  </si>
  <si>
    <t>ASV</t>
  </si>
  <si>
    <t>D120172</t>
  </si>
  <si>
    <t>Fantoma Daniel</t>
  </si>
  <si>
    <t>D120150</t>
  </si>
  <si>
    <t>Poletar Björn</t>
  </si>
  <si>
    <t>Erbe Patrick</t>
  </si>
  <si>
    <t>Erbe</t>
  </si>
  <si>
    <t>Patrick</t>
  </si>
  <si>
    <t>Rusakiwicz</t>
  </si>
  <si>
    <t>Janek</t>
  </si>
  <si>
    <t>SG Stern Mannheim</t>
  </si>
  <si>
    <t>Helmrich Benjamin</t>
  </si>
  <si>
    <t>Helmrich</t>
  </si>
  <si>
    <t>Benjamin</t>
  </si>
  <si>
    <t>Rusakiewicz Janek</t>
  </si>
  <si>
    <t>Schübeler, Uwe</t>
  </si>
  <si>
    <t>Friedl Traudl</t>
  </si>
  <si>
    <t>Friedl</t>
  </si>
  <si>
    <t>Traudl</t>
  </si>
  <si>
    <t>Fabrig Julie</t>
  </si>
  <si>
    <t>Julie</t>
  </si>
  <si>
    <t>Fabrig</t>
  </si>
  <si>
    <t>Ulrich Kurt</t>
  </si>
  <si>
    <t>Kurt</t>
  </si>
  <si>
    <t>Markus</t>
  </si>
  <si>
    <t>Rupprecht Markus</t>
  </si>
  <si>
    <t>Helmrich Nadine</t>
  </si>
  <si>
    <t>Fantoma</t>
  </si>
  <si>
    <t>Fantoma, Daniel</t>
  </si>
  <si>
    <t>Meister Uwe</t>
  </si>
  <si>
    <t>Haag Helge</t>
  </si>
  <si>
    <t>Neudecker Nils</t>
  </si>
  <si>
    <t>Meister</t>
  </si>
  <si>
    <t>Björn</t>
  </si>
  <si>
    <t>Haag</t>
  </si>
  <si>
    <t>Helge</t>
  </si>
  <si>
    <t>Neudecker</t>
  </si>
  <si>
    <t>Nils</t>
  </si>
  <si>
    <t>Bianca</t>
  </si>
  <si>
    <t>Schefczik, Tim</t>
  </si>
  <si>
    <t>D147617</t>
  </si>
  <si>
    <t>D120174</t>
  </si>
  <si>
    <t>Heins, Franziska</t>
  </si>
  <si>
    <t>Voll Druff Kirrlach II</t>
  </si>
  <si>
    <t>Voll Druff Kirrlach I</t>
  </si>
  <si>
    <t>Hau Druff Worms</t>
  </si>
  <si>
    <t>Los Ninos Eppelheim</t>
  </si>
  <si>
    <t>Familienbande</t>
  </si>
  <si>
    <t>D120175</t>
  </si>
  <si>
    <t>Jeromin, Michael</t>
  </si>
  <si>
    <t>Jeromin Michael</t>
  </si>
  <si>
    <t>Jeromin</t>
  </si>
  <si>
    <t>Heins Franziska</t>
  </si>
  <si>
    <t>Heins</t>
  </si>
  <si>
    <t>Franziska</t>
  </si>
  <si>
    <t>Schefczik Tim</t>
  </si>
  <si>
    <t>Tim</t>
  </si>
  <si>
    <t>Dittrich, Silvia</t>
  </si>
  <si>
    <t>SG Stern Putzer II</t>
  </si>
  <si>
    <t>Jakob, Mario</t>
  </si>
  <si>
    <t>Metz, Josef</t>
  </si>
  <si>
    <t>D059018</t>
  </si>
  <si>
    <t>Bauer, Jürgen</t>
  </si>
  <si>
    <t>Kaufhold, Heidi</t>
  </si>
  <si>
    <t>SG Stern Putzer I</t>
  </si>
  <si>
    <t>Dumath, Joachim</t>
  </si>
  <si>
    <t>Helmrich, Nadine</t>
  </si>
  <si>
    <t>Lackner Uwe</t>
  </si>
  <si>
    <t>Lackner</t>
  </si>
  <si>
    <t>Kraft Michael</t>
  </si>
  <si>
    <t>Kraft</t>
  </si>
  <si>
    <t>Schnabel Klaus</t>
  </si>
  <si>
    <t>Schnabel</t>
  </si>
  <si>
    <t>Schnabel, Klaus</t>
  </si>
  <si>
    <t>Kraft, Michael</t>
  </si>
  <si>
    <t>Lackner, Uwe</t>
  </si>
  <si>
    <t>D153431</t>
  </si>
  <si>
    <t>D153433</t>
  </si>
  <si>
    <t>D153432</t>
  </si>
  <si>
    <t>Axel Beckschulte</t>
  </si>
  <si>
    <t>Thosten Hornig</t>
  </si>
  <si>
    <t>Marco Zirkelbach</t>
  </si>
  <si>
    <t>D153435</t>
  </si>
  <si>
    <t>D153434</t>
  </si>
  <si>
    <t>D153430</t>
  </si>
  <si>
    <t>Beckschulte</t>
  </si>
  <si>
    <t>Hornig</t>
  </si>
  <si>
    <t>Zirkelbach</t>
  </si>
  <si>
    <t>Axel</t>
  </si>
  <si>
    <t>Laub, Edgar</t>
  </si>
  <si>
    <t>Laub, Rita</t>
  </si>
  <si>
    <t>Neudecker, Bianca</t>
  </si>
  <si>
    <t>Neudecker Bianca</t>
  </si>
  <si>
    <t>Nadine Pötzsch</t>
  </si>
  <si>
    <t>D152645</t>
  </si>
  <si>
    <t>D152644</t>
  </si>
  <si>
    <t>Pötzsch</t>
  </si>
  <si>
    <t>Damir Zivkovic</t>
  </si>
  <si>
    <t>Zivkovic</t>
  </si>
  <si>
    <t>Pötzsch, Nadine</t>
  </si>
  <si>
    <t>Zivkovic, Damir</t>
  </si>
  <si>
    <t>Damir</t>
  </si>
  <si>
    <t>Fantoma, Jessica</t>
  </si>
  <si>
    <t>Fantoma Jessica</t>
  </si>
  <si>
    <t>GebDatum</t>
  </si>
  <si>
    <t>Bendl, Waltraud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</si>
</sst>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m/yy"/>
    <numFmt numFmtId="183" formatCode="hh:mm\ \Uh\r"/>
    <numFmt numFmtId="184" formatCode="hh:mm\ &quot;Uhr&quot;"/>
    <numFmt numFmtId="185" formatCode="mmm\ yyyy"/>
    <numFmt numFmtId="186" formatCode="#,##0;\-#,##0"/>
    <numFmt numFmtId="187" formatCode="#,##0;[Red]\-#,##0"/>
    <numFmt numFmtId="188" formatCode="#,##0.00;\-#,##0.00"/>
    <numFmt numFmtId="189" formatCode="#,##0.00;[Red]\-#,##0.0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#,##0&quot;DM&quot;_);\(#,##0&quot;DM&quot;\)"/>
    <numFmt numFmtId="194" formatCode="#,##0&quot;DM&quot;_);[Red]\(#,##0&quot;DM&quot;\)"/>
    <numFmt numFmtId="195" formatCode="#,##0.00&quot;DM&quot;_);\(#,##0.00&quot;DM&quot;\)"/>
    <numFmt numFmtId="196" formatCode="#,##0.00&quot;DM&quot;_);[Red]\(#,##0.00&quot;DM&quot;\)"/>
    <numFmt numFmtId="197" formatCode="_ * #,##0_)&quot;DM&quot;_ ;_ * \(#,##0\)&quot;DM&quot;_ ;_ * &quot;-&quot;_)&quot;DM&quot;_ ;_ @_ "/>
    <numFmt numFmtId="198" formatCode="_ * #,##0_)_D_M_ ;_ * \(#,##0\)_D_M_ ;_ * &quot;-&quot;_)_D_M_ ;_ @_ "/>
    <numFmt numFmtId="199" formatCode="_ * #,##0.00_)&quot;DM&quot;_ ;_ * \(#,##0.00\)&quot;DM&quot;_ ;_ * &quot;-&quot;??_)&quot;DM&quot;_ ;_ @_ "/>
    <numFmt numFmtId="200" formatCode="_ * #,##0.00_)_D_M_ ;_ * \(#,##0.00\)_D_M_ ;_ * &quot;-&quot;??_)_D_M_ ;_ @_ "/>
    <numFmt numFmtId="201" formatCode="dd/\ mm\ yy"/>
    <numFmt numFmtId="202" formatCode="mmm/\ yy"/>
    <numFmt numFmtId="203" formatCode="d/m"/>
    <numFmt numFmtId="204" formatCode="dd/mm"/>
    <numFmt numFmtId="205" formatCode="mm/yy"/>
    <numFmt numFmtId="206" formatCode="hh:mm:ss\ &quot;Uhr&quot;"/>
    <numFmt numFmtId="207" formatCode="[$-407]dddd\,\ d\.\ mmmm\ yyyy"/>
    <numFmt numFmtId="208" formatCode="[$-407]mmm/\ yy;@"/>
    <numFmt numFmtId="209" formatCode="[$-407]mmmmm\ yy;@"/>
    <numFmt numFmtId="210" formatCode="d/m;@"/>
    <numFmt numFmtId="211" formatCode="00000"/>
    <numFmt numFmtId="212" formatCode="dd\ mm"/>
    <numFmt numFmtId="213" formatCode="##0000"/>
    <numFmt numFmtId="214" formatCode="\[@\]"/>
    <numFmt numFmtId="215" formatCode="000000"/>
    <numFmt numFmtId="216" formatCode="mmyy"/>
    <numFmt numFmtId="217" formatCode="dd/mm/yy;@"/>
    <numFmt numFmtId="218" formatCode="\D000000"/>
    <numFmt numFmtId="219" formatCode="[$€-2]\ #,##0.00_);[Red]\([$€-2]\ #,##0.00\)"/>
    <numFmt numFmtId="220" formatCode="mm/dd/yy;@"/>
    <numFmt numFmtId="221" formatCode="yy/m/d;@"/>
    <numFmt numFmtId="222" formatCode="yyyy\-mm\-dd;@"/>
  </numFmts>
  <fonts count="10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6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20"/>
      <name val="Arial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b/>
      <u val="single"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3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3"/>
      <name val="Times New Roman"/>
      <family val="1"/>
    </font>
    <font>
      <sz val="10"/>
      <color indexed="48"/>
      <name val="Arial"/>
      <family val="2"/>
    </font>
    <font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63"/>
      <name val="Tahoma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3"/>
      <color indexed="9"/>
      <name val="Times New Roman"/>
      <family val="1"/>
    </font>
    <font>
      <sz val="14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3"/>
      <color theme="0"/>
      <name val="Times New Roman"/>
      <family val="1"/>
    </font>
    <font>
      <sz val="14"/>
      <color theme="0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4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34" fillId="35" borderId="11" xfId="0" applyFont="1" applyFill="1" applyBorder="1" applyAlignment="1" applyProtection="1">
      <alignment horizontal="centerContinuous" vertical="center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34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33" fillId="35" borderId="11" xfId="0" applyFont="1" applyFill="1" applyBorder="1" applyAlignment="1" applyProtection="1">
      <alignment horizontal="centerContinuous"/>
      <protection locked="0"/>
    </xf>
    <xf numFmtId="205" fontId="0" fillId="0" borderId="0" xfId="0" applyNumberFormat="1" applyAlignment="1">
      <alignment/>
    </xf>
    <xf numFmtId="205" fontId="1" fillId="0" borderId="0" xfId="53" applyNumberFormat="1" applyFont="1" applyBorder="1" applyAlignment="1">
      <alignment horizontal="center" vertical="center"/>
      <protection/>
    </xf>
    <xf numFmtId="205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5" fontId="32" fillId="35" borderId="11" xfId="0" applyNumberFormat="1" applyFont="1" applyFill="1" applyBorder="1" applyAlignment="1" applyProtection="1">
      <alignment horizontal="centerContinuous" vertical="center"/>
      <protection locked="0"/>
    </xf>
    <xf numFmtId="205" fontId="4" fillId="0" borderId="0" xfId="53" applyNumberFormat="1" applyFont="1" applyAlignment="1">
      <alignment horizont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14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14" fontId="22" fillId="0" borderId="16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22" fillId="0" borderId="0" xfId="0" applyNumberFormat="1" applyFont="1" applyBorder="1" applyAlignment="1" applyProtection="1">
      <alignment/>
      <protection/>
    </xf>
    <xf numFmtId="14" fontId="22" fillId="0" borderId="14" xfId="0" applyNumberFormat="1" applyFont="1" applyBorder="1" applyAlignment="1" applyProtection="1">
      <alignment/>
      <protection/>
    </xf>
    <xf numFmtId="14" fontId="22" fillId="0" borderId="15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5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0" fillId="35" borderId="10" xfId="0" applyFont="1" applyFill="1" applyBorder="1" applyAlignment="1" applyProtection="1">
      <alignment horizontal="centerContinuous" vertical="center" shrinkToFit="1"/>
      <protection locked="0"/>
    </xf>
    <xf numFmtId="0" fontId="4" fillId="35" borderId="17" xfId="53" applyFont="1" applyFill="1" applyBorder="1" applyAlignment="1" applyProtection="1">
      <alignment horizontal="centerContinuous" vertical="center" shrinkToFit="1"/>
      <protection locked="0"/>
    </xf>
    <xf numFmtId="0" fontId="24" fillId="0" borderId="18" xfId="0" applyFont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215" fontId="24" fillId="0" borderId="19" xfId="0" applyNumberFormat="1" applyFont="1" applyBorder="1" applyAlignment="1" applyProtection="1">
      <alignment horizontal="center" vertical="center"/>
      <protection/>
    </xf>
    <xf numFmtId="205" fontId="15" fillId="34" borderId="11" xfId="0" applyNumberFormat="1" applyFont="1" applyFill="1" applyBorder="1" applyAlignment="1" applyProtection="1">
      <alignment horizontal="center" vertical="center"/>
      <protection locked="0"/>
    </xf>
    <xf numFmtId="0" fontId="15" fillId="34" borderId="11" xfId="0" applyFont="1" applyFill="1" applyBorder="1" applyAlignment="1" applyProtection="1">
      <alignment vertical="center"/>
      <protection/>
    </xf>
    <xf numFmtId="215" fontId="15" fillId="34" borderId="11" xfId="0" applyNumberFormat="1" applyFont="1" applyFill="1" applyBorder="1" applyAlignment="1" applyProtection="1">
      <alignment horizontal="center" vertical="center"/>
      <protection locked="0"/>
    </xf>
    <xf numFmtId="0" fontId="15" fillId="34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5" fillId="36" borderId="20" xfId="53" applyFont="1" applyFill="1" applyBorder="1" applyAlignment="1" applyProtection="1">
      <alignment vertical="center"/>
      <protection/>
    </xf>
    <xf numFmtId="0" fontId="15" fillId="36" borderId="11" xfId="53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15" fillId="36" borderId="20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211" fontId="15" fillId="34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12" xfId="0" applyFill="1" applyBorder="1" applyAlignment="1" applyProtection="1">
      <alignment/>
      <protection/>
    </xf>
    <xf numFmtId="0" fontId="41" fillId="0" borderId="12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4" fontId="22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205" fontId="15" fillId="0" borderId="20" xfId="53" applyNumberFormat="1" applyFont="1" applyFill="1" applyBorder="1" applyAlignment="1" applyProtection="1">
      <alignment horizontal="center" vertical="center"/>
      <protection locked="0"/>
    </xf>
    <xf numFmtId="205" fontId="15" fillId="0" borderId="11" xfId="53" applyNumberFormat="1" applyFont="1" applyFill="1" applyBorder="1" applyAlignment="1" applyProtection="1">
      <alignment horizontal="center" vertical="center"/>
      <protection locked="0"/>
    </xf>
    <xf numFmtId="215" fontId="15" fillId="0" borderId="11" xfId="0" applyNumberFormat="1" applyFont="1" applyFill="1" applyBorder="1" applyAlignment="1" applyProtection="1">
      <alignment horizontal="center" vertical="center"/>
      <protection locked="0"/>
    </xf>
    <xf numFmtId="205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0" fontId="0" fillId="0" borderId="20" xfId="53" applyFont="1" applyFill="1" applyBorder="1" applyAlignment="1" applyProtection="1">
      <alignment vertical="center"/>
      <protection locked="0"/>
    </xf>
    <xf numFmtId="0" fontId="0" fillId="0" borderId="11" xfId="53" applyFont="1" applyFill="1" applyBorder="1" applyAlignment="1" applyProtection="1">
      <alignment vertical="center"/>
      <protection locked="0"/>
    </xf>
    <xf numFmtId="0" fontId="46" fillId="0" borderId="11" xfId="0" applyFont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15" fillId="0" borderId="0" xfId="53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205" fontId="15" fillId="0" borderId="0" xfId="53" applyNumberFormat="1" applyFont="1" applyFill="1" applyBorder="1" applyAlignment="1" applyProtection="1">
      <alignment horizontal="center" vertical="center"/>
      <protection locked="0"/>
    </xf>
    <xf numFmtId="215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53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15" fontId="48" fillId="0" borderId="19" xfId="0" applyNumberFormat="1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21" xfId="0" applyFont="1" applyBorder="1" applyAlignment="1" applyProtection="1">
      <alignment horizontal="center" vertical="center"/>
      <protection/>
    </xf>
    <xf numFmtId="0" fontId="48" fillId="0" borderId="22" xfId="0" applyFont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 locked="0"/>
    </xf>
    <xf numFmtId="205" fontId="15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24" fillId="0" borderId="13" xfId="0" applyFont="1" applyBorder="1" applyAlignment="1" applyProtection="1" quotePrefix="1">
      <alignment horizontal="center" vertical="center"/>
      <protection/>
    </xf>
    <xf numFmtId="0" fontId="50" fillId="0" borderId="0" xfId="0" applyFont="1" applyFill="1" applyAlignment="1" quotePrefix="1">
      <alignment/>
    </xf>
    <xf numFmtId="0" fontId="0" fillId="37" borderId="0" xfId="0" applyFill="1" applyAlignment="1">
      <alignment/>
    </xf>
    <xf numFmtId="0" fontId="0" fillId="37" borderId="23" xfId="0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24" xfId="0" applyFont="1" applyFill="1" applyBorder="1" applyAlignment="1">
      <alignment/>
    </xf>
    <xf numFmtId="0" fontId="50" fillId="37" borderId="23" xfId="0" applyFont="1" applyFill="1" applyBorder="1" applyAlignment="1">
      <alignment/>
    </xf>
    <xf numFmtId="0" fontId="50" fillId="37" borderId="0" xfId="0" applyFont="1" applyFill="1" applyBorder="1" applyAlignment="1">
      <alignment/>
    </xf>
    <xf numFmtId="0" fontId="50" fillId="37" borderId="0" xfId="0" applyFont="1" applyFill="1" applyBorder="1" applyAlignment="1" quotePrefix="1">
      <alignment/>
    </xf>
    <xf numFmtId="0" fontId="49" fillId="37" borderId="0" xfId="0" applyFont="1" applyFill="1" applyBorder="1" applyAlignment="1">
      <alignment/>
    </xf>
    <xf numFmtId="0" fontId="0" fillId="37" borderId="25" xfId="0" applyFill="1" applyBorder="1" applyAlignment="1">
      <alignment/>
    </xf>
    <xf numFmtId="0" fontId="50" fillId="37" borderId="26" xfId="0" applyFont="1" applyFill="1" applyBorder="1" applyAlignment="1">
      <alignment/>
    </xf>
    <xf numFmtId="0" fontId="50" fillId="37" borderId="26" xfId="0" applyFont="1" applyFill="1" applyBorder="1" applyAlignment="1" quotePrefix="1">
      <alignment/>
    </xf>
    <xf numFmtId="0" fontId="50" fillId="37" borderId="27" xfId="0" applyFont="1" applyFill="1" applyBorder="1" applyAlignment="1">
      <alignment/>
    </xf>
    <xf numFmtId="0" fontId="47" fillId="37" borderId="23" xfId="0" applyFont="1" applyFill="1" applyBorder="1" applyAlignment="1">
      <alignment/>
    </xf>
    <xf numFmtId="0" fontId="47" fillId="37" borderId="0" xfId="0" applyFont="1" applyFill="1" applyBorder="1" applyAlignment="1">
      <alignment/>
    </xf>
    <xf numFmtId="0" fontId="47" fillId="37" borderId="0" xfId="0" applyFont="1" applyFill="1" applyBorder="1" applyAlignment="1" quotePrefix="1">
      <alignment/>
    </xf>
    <xf numFmtId="0" fontId="47" fillId="37" borderId="24" xfId="0" applyFont="1" applyFill="1" applyBorder="1" applyAlignment="1">
      <alignment/>
    </xf>
    <xf numFmtId="0" fontId="47" fillId="37" borderId="26" xfId="0" applyFont="1" applyFill="1" applyBorder="1" applyAlignment="1" quotePrefix="1">
      <alignment/>
    </xf>
    <xf numFmtId="0" fontId="47" fillId="37" borderId="26" xfId="0" applyFont="1" applyFill="1" applyBorder="1" applyAlignment="1">
      <alignment/>
    </xf>
    <xf numFmtId="0" fontId="47" fillId="37" borderId="27" xfId="0" applyFont="1" applyFill="1" applyBorder="1" applyAlignment="1">
      <alignment/>
    </xf>
    <xf numFmtId="0" fontId="50" fillId="37" borderId="0" xfId="0" applyFont="1" applyFill="1" applyBorder="1" applyAlignment="1">
      <alignment horizontal="right"/>
    </xf>
    <xf numFmtId="0" fontId="47" fillId="37" borderId="0" xfId="0" applyFont="1" applyFill="1" applyBorder="1" applyAlignment="1">
      <alignment horizontal="right"/>
    </xf>
    <xf numFmtId="0" fontId="49" fillId="37" borderId="14" xfId="0" applyFont="1" applyFill="1" applyBorder="1" applyAlignment="1">
      <alignment/>
    </xf>
    <xf numFmtId="0" fontId="49" fillId="37" borderId="15" xfId="0" applyFont="1" applyFill="1" applyBorder="1" applyAlignment="1">
      <alignment/>
    </xf>
    <xf numFmtId="0" fontId="47" fillId="37" borderId="0" xfId="0" applyFont="1" applyFill="1" applyBorder="1" applyAlignment="1">
      <alignment horizontal="center"/>
    </xf>
    <xf numFmtId="0" fontId="47" fillId="37" borderId="14" xfId="0" applyFont="1" applyFill="1" applyBorder="1" applyAlignment="1">
      <alignment/>
    </xf>
    <xf numFmtId="0" fontId="47" fillId="37" borderId="15" xfId="0" applyFont="1" applyFill="1" applyBorder="1" applyAlignment="1">
      <alignment/>
    </xf>
    <xf numFmtId="0" fontId="0" fillId="0" borderId="0" xfId="0" applyAlignment="1" quotePrefix="1">
      <alignment/>
    </xf>
    <xf numFmtId="0" fontId="16" fillId="38" borderId="0" xfId="0" applyFont="1" applyFill="1" applyAlignment="1">
      <alignment/>
    </xf>
    <xf numFmtId="0" fontId="0" fillId="37" borderId="0" xfId="0" applyFill="1" applyAlignment="1">
      <alignment vertical="center"/>
    </xf>
    <xf numFmtId="0" fontId="16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 vertical="center"/>
    </xf>
    <xf numFmtId="0" fontId="0" fillId="40" borderId="0" xfId="0" applyFill="1" applyAlignment="1">
      <alignment/>
    </xf>
    <xf numFmtId="1" fontId="15" fillId="36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17" fillId="39" borderId="0" xfId="0" applyFont="1" applyFill="1" applyAlignment="1">
      <alignment/>
    </xf>
    <xf numFmtId="0" fontId="50" fillId="37" borderId="24" xfId="0" applyFont="1" applyFill="1" applyBorder="1" applyAlignment="1">
      <alignment/>
    </xf>
    <xf numFmtId="0" fontId="44" fillId="0" borderId="0" xfId="0" applyFont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15" fillId="0" borderId="3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28" xfId="0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/>
    </xf>
    <xf numFmtId="0" fontId="15" fillId="0" borderId="32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15" fillId="0" borderId="32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5" fillId="0" borderId="36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35" fillId="0" borderId="11" xfId="0" applyFont="1" applyBorder="1" applyAlignment="1" applyProtection="1" quotePrefix="1">
      <alignment horizontal="center"/>
      <protection/>
    </xf>
    <xf numFmtId="0" fontId="35" fillId="0" borderId="11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right"/>
      <protection/>
    </xf>
    <xf numFmtId="14" fontId="0" fillId="0" borderId="38" xfId="0" applyNumberFormat="1" applyBorder="1" applyAlignment="1" applyProtection="1">
      <alignment/>
      <protection/>
    </xf>
    <xf numFmtId="206" fontId="0" fillId="0" borderId="0" xfId="0" applyNumberFormat="1" applyAlignment="1" applyProtection="1">
      <alignment/>
      <protection/>
    </xf>
    <xf numFmtId="0" fontId="23" fillId="0" borderId="39" xfId="0" applyFont="1" applyBorder="1" applyAlignment="1" applyProtection="1">
      <alignment/>
      <protection/>
    </xf>
    <xf numFmtId="0" fontId="23" fillId="0" borderId="30" xfId="0" applyFont="1" applyBorder="1" applyAlignment="1" applyProtection="1">
      <alignment/>
      <protection/>
    </xf>
    <xf numFmtId="0" fontId="23" fillId="0" borderId="31" xfId="0" applyFont="1" applyBorder="1" applyAlignment="1" applyProtection="1">
      <alignment/>
      <protection/>
    </xf>
    <xf numFmtId="0" fontId="23" fillId="0" borderId="31" xfId="0" applyFont="1" applyBorder="1" applyAlignment="1" applyProtection="1">
      <alignment horizontal="center"/>
      <protection/>
    </xf>
    <xf numFmtId="0" fontId="23" fillId="0" borderId="40" xfId="0" applyFont="1" applyBorder="1" applyAlignment="1" applyProtection="1">
      <alignment horizontal="center"/>
      <protection/>
    </xf>
    <xf numFmtId="0" fontId="23" fillId="0" borderId="41" xfId="0" applyFont="1" applyBorder="1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28" xfId="0" applyFont="1" applyBorder="1" applyAlignment="1" applyProtection="1">
      <alignment/>
      <protection/>
    </xf>
    <xf numFmtId="0" fontId="14" fillId="0" borderId="28" xfId="0" applyFont="1" applyBorder="1" applyAlignment="1" applyProtection="1">
      <alignment horizontal="right"/>
      <protection/>
    </xf>
    <xf numFmtId="0" fontId="26" fillId="0" borderId="0" xfId="0" applyFont="1" applyAlignment="1" applyProtection="1">
      <alignment horizontal="center"/>
      <protection locked="0"/>
    </xf>
    <xf numFmtId="0" fontId="46" fillId="39" borderId="11" xfId="0" applyFont="1" applyFill="1" applyBorder="1" applyAlignment="1" applyProtection="1">
      <alignment horizontal="center"/>
      <protection locked="0"/>
    </xf>
    <xf numFmtId="0" fontId="1" fillId="39" borderId="11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31" fillId="0" borderId="0" xfId="0" applyFont="1" applyAlignment="1">
      <alignment horizontal="center"/>
    </xf>
    <xf numFmtId="0" fontId="0" fillId="41" borderId="0" xfId="0" applyFill="1" applyAlignment="1">
      <alignment/>
    </xf>
    <xf numFmtId="0" fontId="43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18" fillId="0" borderId="11" xfId="0" applyFont="1" applyBorder="1" applyAlignment="1">
      <alignment horizontal="right" vertical="center" wrapText="1" indent="8"/>
    </xf>
    <xf numFmtId="0" fontId="1" fillId="0" borderId="11" xfId="0" applyFont="1" applyBorder="1" applyAlignment="1">
      <alignment horizontal="right" vertical="center" wrapText="1" indent="2"/>
    </xf>
    <xf numFmtId="0" fontId="0" fillId="0" borderId="11" xfId="0" applyFont="1" applyBorder="1" applyAlignment="1">
      <alignment horizontal="center" vertical="center" wrapText="1"/>
    </xf>
    <xf numFmtId="0" fontId="1" fillId="42" borderId="11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vertical="center" wrapText="1"/>
    </xf>
    <xf numFmtId="0" fontId="0" fillId="0" borderId="11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right" vertical="center" wrapText="1" indent="5"/>
    </xf>
    <xf numFmtId="0" fontId="97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center" wrapText="1"/>
    </xf>
    <xf numFmtId="0" fontId="98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center" wrapText="1"/>
    </xf>
    <xf numFmtId="0" fontId="99" fillId="0" borderId="11" xfId="0" applyFont="1" applyBorder="1" applyAlignment="1">
      <alignment horizontal="left" vertical="center" wrapText="1"/>
    </xf>
    <xf numFmtId="1" fontId="100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 indent="3"/>
    </xf>
    <xf numFmtId="1" fontId="99" fillId="0" borderId="11" xfId="0" applyNumberFormat="1" applyFont="1" applyBorder="1" applyAlignment="1">
      <alignment horizontal="center" vertical="center" wrapText="1"/>
    </xf>
    <xf numFmtId="205" fontId="101" fillId="0" borderId="12" xfId="0" applyNumberFormat="1" applyFont="1" applyBorder="1" applyAlignment="1" applyProtection="1">
      <alignment horizontal="center" vertical="center"/>
      <protection/>
    </xf>
    <xf numFmtId="205" fontId="102" fillId="0" borderId="12" xfId="0" applyNumberFormat="1" applyFont="1" applyBorder="1" applyAlignment="1" applyProtection="1">
      <alignment horizontal="center" vertical="center"/>
      <protection/>
    </xf>
    <xf numFmtId="205" fontId="101" fillId="0" borderId="21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34" fillId="43" borderId="11" xfId="0" applyFont="1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>
      <alignment horizontal="center" vertical="center"/>
    </xf>
    <xf numFmtId="215" fontId="15" fillId="44" borderId="11" xfId="0" applyNumberFormat="1" applyFont="1" applyFill="1" applyBorder="1" applyAlignment="1" applyProtection="1">
      <alignment horizontal="center" vertical="center"/>
      <protection locked="0"/>
    </xf>
    <xf numFmtId="0" fontId="0" fillId="44" borderId="0" xfId="0" applyFont="1" applyFill="1" applyAlignment="1">
      <alignment/>
    </xf>
    <xf numFmtId="211" fontId="15" fillId="44" borderId="11" xfId="0" applyNumberFormat="1" applyFont="1" applyFill="1" applyBorder="1" applyAlignment="1" applyProtection="1">
      <alignment horizontal="center" vertical="center"/>
      <protection locked="0"/>
    </xf>
    <xf numFmtId="215" fontId="15" fillId="44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43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218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215" fontId="15" fillId="34" borderId="11" xfId="0" applyNumberFormat="1" applyFont="1" applyFill="1" applyBorder="1" applyAlignment="1" applyProtection="1" quotePrefix="1">
      <alignment horizontal="center" vertical="center"/>
      <protection locked="0"/>
    </xf>
    <xf numFmtId="215" fontId="15" fillId="44" borderId="1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1" xfId="53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/>
    </xf>
    <xf numFmtId="220" fontId="0" fillId="0" borderId="0" xfId="0" applyNumberFormat="1" applyFont="1" applyAlignment="1">
      <alignment/>
    </xf>
    <xf numFmtId="220" fontId="0" fillId="0" borderId="11" xfId="0" applyNumberFormat="1" applyFont="1" applyBorder="1" applyAlignment="1">
      <alignment horizontal="center" vertical="center" wrapText="1"/>
    </xf>
    <xf numFmtId="220" fontId="0" fillId="0" borderId="11" xfId="0" applyNumberFormat="1" applyFont="1" applyBorder="1" applyAlignment="1">
      <alignment horizontal="left" vertical="top" wrapText="1"/>
    </xf>
    <xf numFmtId="0" fontId="50" fillId="37" borderId="15" xfId="0" applyFont="1" applyFill="1" applyBorder="1" applyAlignment="1">
      <alignment horizontal="center"/>
    </xf>
    <xf numFmtId="0" fontId="50" fillId="37" borderId="14" xfId="0" applyFont="1" applyFill="1" applyBorder="1" applyAlignment="1">
      <alignment horizontal="center"/>
    </xf>
    <xf numFmtId="0" fontId="50" fillId="37" borderId="0" xfId="0" applyFont="1" applyFill="1" applyBorder="1" applyAlignment="1">
      <alignment horizontal="center"/>
    </xf>
    <xf numFmtId="0" fontId="47" fillId="37" borderId="0" xfId="0" applyFont="1" applyFill="1" applyBorder="1" applyAlignment="1">
      <alignment horizontal="center"/>
    </xf>
    <xf numFmtId="0" fontId="47" fillId="37" borderId="14" xfId="0" applyFont="1" applyFill="1" applyBorder="1" applyAlignment="1">
      <alignment horizontal="center"/>
    </xf>
    <xf numFmtId="0" fontId="47" fillId="37" borderId="15" xfId="0" applyFont="1" applyFill="1" applyBorder="1" applyAlignment="1">
      <alignment horizontal="center"/>
    </xf>
    <xf numFmtId="0" fontId="47" fillId="37" borderId="44" xfId="0" applyFont="1" applyFill="1" applyBorder="1" applyAlignment="1">
      <alignment horizontal="center"/>
    </xf>
    <xf numFmtId="0" fontId="47" fillId="37" borderId="45" xfId="0" applyFont="1" applyFill="1" applyBorder="1" applyAlignment="1">
      <alignment horizontal="center"/>
    </xf>
    <xf numFmtId="0" fontId="47" fillId="37" borderId="46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49" fillId="37" borderId="44" xfId="0" applyFont="1" applyFill="1" applyBorder="1" applyAlignment="1">
      <alignment horizontal="center"/>
    </xf>
    <xf numFmtId="0" fontId="49" fillId="37" borderId="45" xfId="0" applyFont="1" applyFill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50" fillId="37" borderId="24" xfId="0" applyFont="1" applyFill="1" applyBorder="1" applyAlignment="1">
      <alignment horizontal="center"/>
    </xf>
    <xf numFmtId="0" fontId="47" fillId="37" borderId="24" xfId="0" applyFont="1" applyFill="1" applyBorder="1" applyAlignment="1">
      <alignment horizontal="center"/>
    </xf>
    <xf numFmtId="0" fontId="48" fillId="0" borderId="47" xfId="0" applyFont="1" applyBorder="1" applyAlignment="1" applyProtection="1">
      <alignment horizontal="left" vertical="center"/>
      <protection/>
    </xf>
    <xf numFmtId="0" fontId="48" fillId="0" borderId="32" xfId="0" applyFont="1" applyBorder="1" applyAlignment="1" applyProtection="1">
      <alignment horizontal="left" vertical="center"/>
      <protection/>
    </xf>
    <xf numFmtId="0" fontId="48" fillId="0" borderId="21" xfId="0" applyFont="1" applyBorder="1" applyAlignment="1" applyProtection="1">
      <alignment horizontal="left" vertical="center"/>
      <protection/>
    </xf>
    <xf numFmtId="0" fontId="48" fillId="0" borderId="47" xfId="0" applyFont="1" applyFill="1" applyBorder="1" applyAlignment="1" applyProtection="1">
      <alignment horizontal="center" vertical="center"/>
      <protection/>
    </xf>
    <xf numFmtId="0" fontId="48" fillId="0" borderId="32" xfId="0" applyFont="1" applyFill="1" applyBorder="1" applyAlignment="1" applyProtection="1">
      <alignment horizontal="center" vertical="center"/>
      <protection/>
    </xf>
    <xf numFmtId="0" fontId="48" fillId="0" borderId="21" xfId="0" applyFont="1" applyFill="1" applyBorder="1" applyAlignment="1" applyProtection="1">
      <alignment horizontal="center" vertical="center"/>
      <protection/>
    </xf>
    <xf numFmtId="0" fontId="23" fillId="0" borderId="48" xfId="0" applyFont="1" applyBorder="1" applyAlignment="1" applyProtection="1">
      <alignment horizontal="center"/>
      <protection/>
    </xf>
    <xf numFmtId="0" fontId="23" fillId="0" borderId="30" xfId="0" applyFont="1" applyBorder="1" applyAlignment="1" applyProtection="1">
      <alignment horizontal="center"/>
      <protection/>
    </xf>
    <xf numFmtId="0" fontId="23" fillId="0" borderId="31" xfId="0" applyFont="1" applyBorder="1" applyAlignment="1" applyProtection="1">
      <alignment horizontal="center"/>
      <protection/>
    </xf>
    <xf numFmtId="0" fontId="35" fillId="0" borderId="49" xfId="0" applyFont="1" applyFill="1" applyBorder="1" applyAlignment="1" applyProtection="1">
      <alignment horizontal="center"/>
      <protection/>
    </xf>
    <xf numFmtId="0" fontId="35" fillId="0" borderId="36" xfId="0" applyFont="1" applyFill="1" applyBorder="1" applyAlignment="1" applyProtection="1">
      <alignment horizontal="center"/>
      <protection/>
    </xf>
    <xf numFmtId="0" fontId="35" fillId="0" borderId="50" xfId="0" applyFont="1" applyFill="1" applyBorder="1" applyAlignment="1" applyProtection="1">
      <alignment horizontal="center"/>
      <protection/>
    </xf>
    <xf numFmtId="0" fontId="26" fillId="0" borderId="28" xfId="0" applyFont="1" applyBorder="1" applyAlignment="1" applyProtection="1">
      <alignment horizontal="left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14" fontId="0" fillId="0" borderId="51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14" fontId="13" fillId="0" borderId="28" xfId="0" applyNumberFormat="1" applyFont="1" applyBorder="1" applyAlignment="1" applyProtection="1">
      <alignment horizontal="left"/>
      <protection locked="0"/>
    </xf>
    <xf numFmtId="14" fontId="13" fillId="0" borderId="28" xfId="0" applyNumberFormat="1" applyFont="1" applyBorder="1" applyAlignment="1" applyProtection="1" quotePrefix="1">
      <alignment horizontal="left"/>
      <protection locked="0"/>
    </xf>
    <xf numFmtId="0" fontId="13" fillId="0" borderId="32" xfId="0" applyFont="1" applyBorder="1" applyAlignment="1" applyProtection="1">
      <alignment horizontal="left"/>
      <protection/>
    </xf>
    <xf numFmtId="206" fontId="13" fillId="0" borderId="32" xfId="0" applyNumberFormat="1" applyFont="1" applyBorder="1" applyAlignment="1" applyProtection="1">
      <alignment horizontal="left"/>
      <protection locked="0"/>
    </xf>
    <xf numFmtId="206" fontId="13" fillId="0" borderId="34" xfId="0" applyNumberFormat="1" applyFont="1" applyBorder="1" applyAlignment="1" applyProtection="1">
      <alignment horizontal="left"/>
      <protection locked="0"/>
    </xf>
    <xf numFmtId="215" fontId="48" fillId="0" borderId="56" xfId="0" applyNumberFormat="1" applyFont="1" applyBorder="1" applyAlignment="1" applyProtection="1">
      <alignment horizontal="center" vertical="center"/>
      <protection/>
    </xf>
    <xf numFmtId="215" fontId="48" fillId="0" borderId="32" xfId="0" applyNumberFormat="1" applyFont="1" applyBorder="1" applyAlignment="1" applyProtection="1">
      <alignment horizontal="center" vertical="center"/>
      <protection/>
    </xf>
    <xf numFmtId="215" fontId="48" fillId="0" borderId="21" xfId="0" applyNumberFormat="1" applyFont="1" applyBorder="1" applyAlignment="1" applyProtection="1">
      <alignment horizontal="center" vertical="center"/>
      <protection/>
    </xf>
    <xf numFmtId="170" fontId="0" fillId="0" borderId="32" xfId="60" applyFont="1" applyBorder="1" applyAlignment="1" applyProtection="1">
      <alignment horizontal="left"/>
      <protection/>
    </xf>
    <xf numFmtId="0" fontId="48" fillId="0" borderId="47" xfId="0" applyFont="1" applyBorder="1" applyAlignment="1" applyProtection="1">
      <alignment horizontal="center" vertical="center"/>
      <protection/>
    </xf>
    <xf numFmtId="0" fontId="48" fillId="0" borderId="32" xfId="0" applyFont="1" applyBorder="1" applyAlignment="1" applyProtection="1">
      <alignment horizontal="center" vertical="center"/>
      <protection/>
    </xf>
    <xf numFmtId="0" fontId="48" fillId="0" borderId="57" xfId="0" applyFont="1" applyBorder="1" applyAlignment="1" applyProtection="1">
      <alignment horizontal="center" vertical="center"/>
      <protection/>
    </xf>
    <xf numFmtId="0" fontId="23" fillId="0" borderId="58" xfId="0" applyFont="1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0" fontId="13" fillId="0" borderId="28" xfId="0" applyFont="1" applyBorder="1" applyAlignment="1" applyProtection="1">
      <alignment horizontal="left"/>
      <protection/>
    </xf>
    <xf numFmtId="0" fontId="35" fillId="0" borderId="48" xfId="0" applyFont="1" applyFill="1" applyBorder="1" applyAlignment="1" applyProtection="1">
      <alignment horizontal="center"/>
      <protection/>
    </xf>
    <xf numFmtId="0" fontId="35" fillId="0" borderId="30" xfId="0" applyFont="1" applyFill="1" applyBorder="1" applyAlignment="1" applyProtection="1">
      <alignment horizontal="center"/>
      <protection/>
    </xf>
    <xf numFmtId="0" fontId="35" fillId="0" borderId="58" xfId="0" applyFont="1" applyFill="1" applyBorder="1" applyAlignment="1" applyProtection="1">
      <alignment horizontal="center"/>
      <protection/>
    </xf>
    <xf numFmtId="0" fontId="35" fillId="0" borderId="47" xfId="0" applyFont="1" applyFill="1" applyBorder="1" applyAlignment="1" applyProtection="1">
      <alignment horizontal="center"/>
      <protection/>
    </xf>
    <xf numFmtId="0" fontId="35" fillId="0" borderId="32" xfId="0" applyFont="1" applyFill="1" applyBorder="1" applyAlignment="1" applyProtection="1">
      <alignment horizontal="center"/>
      <protection/>
    </xf>
    <xf numFmtId="0" fontId="35" fillId="0" borderId="57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 vertical="center"/>
      <protection/>
    </xf>
    <xf numFmtId="0" fontId="35" fillId="0" borderId="48" xfId="0" applyFont="1" applyBorder="1" applyAlignment="1" applyProtection="1">
      <alignment horizontal="center"/>
      <protection/>
    </xf>
    <xf numFmtId="0" fontId="35" fillId="0" borderId="30" xfId="0" applyFont="1" applyBorder="1" applyAlignment="1" applyProtection="1">
      <alignment horizontal="center"/>
      <protection/>
    </xf>
    <xf numFmtId="0" fontId="35" fillId="0" borderId="58" xfId="0" applyFont="1" applyBorder="1" applyAlignment="1" applyProtection="1">
      <alignment horizontal="center"/>
      <protection/>
    </xf>
    <xf numFmtId="0" fontId="35" fillId="0" borderId="38" xfId="0" applyFont="1" applyBorder="1" applyAlignment="1" applyProtection="1">
      <alignment horizontal="center"/>
      <protection/>
    </xf>
    <xf numFmtId="0" fontId="35" fillId="0" borderId="34" xfId="0" applyFont="1" applyBorder="1" applyAlignment="1" applyProtection="1">
      <alignment horizontal="center"/>
      <protection/>
    </xf>
    <xf numFmtId="0" fontId="35" fillId="0" borderId="59" xfId="0" applyFont="1" applyBorder="1" applyAlignment="1" applyProtection="1">
      <alignment horizontal="center"/>
      <protection/>
    </xf>
    <xf numFmtId="0" fontId="0" fillId="0" borderId="60" xfId="0" applyBorder="1" applyAlignment="1" applyProtection="1">
      <alignment horizontal="left"/>
      <protection/>
    </xf>
    <xf numFmtId="0" fontId="0" fillId="0" borderId="61" xfId="0" applyBorder="1" applyAlignment="1" applyProtection="1">
      <alignment horizontal="left"/>
      <protection/>
    </xf>
    <xf numFmtId="0" fontId="24" fillId="0" borderId="47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21" xfId="0" applyFont="1" applyBorder="1" applyAlignment="1" applyProtection="1">
      <alignment horizontal="left" vertical="center"/>
      <protection/>
    </xf>
    <xf numFmtId="0" fontId="15" fillId="0" borderId="28" xfId="0" applyFont="1" applyBorder="1" applyAlignment="1" applyProtection="1">
      <alignment horizontal="left"/>
      <protection/>
    </xf>
    <xf numFmtId="0" fontId="24" fillId="0" borderId="62" xfId="0" applyFont="1" applyBorder="1" applyAlignment="1" applyProtection="1">
      <alignment horizontal="center" vertical="center"/>
      <protection/>
    </xf>
    <xf numFmtId="0" fontId="24" fillId="0" borderId="61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left"/>
      <protection locked="0"/>
    </xf>
    <xf numFmtId="0" fontId="24" fillId="0" borderId="63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 locked="0"/>
    </xf>
    <xf numFmtId="0" fontId="31" fillId="0" borderId="15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">
    <dxf/>
    <dxf>
      <font>
        <strike/>
        <color indexed="10"/>
      </font>
    </dxf>
    <dxf>
      <font>
        <strike/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933450</xdr:colOff>
      <xdr:row>2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933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1714500</xdr:colOff>
      <xdr:row>10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76525"/>
          <a:ext cx="1714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1695450</xdr:colOff>
      <xdr:row>12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95625"/>
          <a:ext cx="1695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38100</xdr:rowOff>
    </xdr:from>
    <xdr:to>
      <xdr:col>2</xdr:col>
      <xdr:colOff>2209800</xdr:colOff>
      <xdr:row>1</xdr:row>
      <xdr:rowOff>685800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200025"/>
          <a:ext cx="29527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2114550</xdr:colOff>
      <xdr:row>17</xdr:row>
      <xdr:rowOff>571500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4248150"/>
          <a:ext cx="28765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38100</xdr:rowOff>
    </xdr:from>
    <xdr:to>
      <xdr:col>0</xdr:col>
      <xdr:colOff>1047750</xdr:colOff>
      <xdr:row>6</xdr:row>
      <xdr:rowOff>285750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724025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1047750</xdr:colOff>
      <xdr:row>7</xdr:row>
      <xdr:rowOff>247650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990725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1038225</xdr:colOff>
      <xdr:row>9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266950"/>
          <a:ext cx="1038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1</xdr:col>
      <xdr:colOff>104775</xdr:colOff>
      <xdr:row>1</xdr:row>
      <xdr:rowOff>114300</xdr:rowOff>
    </xdr:to>
    <xdr:pic>
      <xdr:nvPicPr>
        <xdr:cNvPr id="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9</xdr:row>
      <xdr:rowOff>0</xdr:rowOff>
    </xdr:from>
    <xdr:to>
      <xdr:col>53</xdr:col>
      <xdr:colOff>0</xdr:colOff>
      <xdr:row>56</xdr:row>
      <xdr:rowOff>0</xdr:rowOff>
    </xdr:to>
    <xdr:sp>
      <xdr:nvSpPr>
        <xdr:cNvPr id="1" name="Line 64"/>
        <xdr:cNvSpPr>
          <a:spLocks/>
        </xdr:cNvSpPr>
      </xdr:nvSpPr>
      <xdr:spPr>
        <a:xfrm>
          <a:off x="3533775" y="600075"/>
          <a:ext cx="0" cy="3133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10</xdr:row>
      <xdr:rowOff>0</xdr:rowOff>
    </xdr:from>
    <xdr:ext cx="866775" cy="200025"/>
    <xdr:sp>
      <xdr:nvSpPr>
        <xdr:cNvPr id="2" name="TextBox 72"/>
        <xdr:cNvSpPr txBox="1">
          <a:spLocks noChangeArrowheads="1"/>
        </xdr:cNvSpPr>
      </xdr:nvSpPr>
      <xdr:spPr>
        <a:xfrm>
          <a:off x="2200275" y="66675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54</xdr:col>
      <xdr:colOff>0</xdr:colOff>
      <xdr:row>10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600450" y="66675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26</xdr:col>
      <xdr:colOff>0</xdr:colOff>
      <xdr:row>15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7335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57</xdr:col>
      <xdr:colOff>0</xdr:colOff>
      <xdr:row>15</xdr:row>
      <xdr:rowOff>0</xdr:rowOff>
    </xdr:from>
    <xdr:ext cx="1333500" cy="200025"/>
    <xdr:sp textlink="'MANNSCHAFTEN+SPIELER'!B4">
      <xdr:nvSpPr>
        <xdr:cNvPr id="5" name="TextBox 75"/>
        <xdr:cNvSpPr txBox="1">
          <a:spLocks noChangeArrowheads="1"/>
        </xdr:cNvSpPr>
      </xdr:nvSpPr>
      <xdr:spPr>
        <a:xfrm>
          <a:off x="3800475" y="100012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e839430-ce47-4978-929f-11d652cb0f92}" type="TxLink">
            <a:rPr lang="en-US" cap="none" sz="1000" b="1" i="0" u="none" baseline="0">
              <a:solidFill>
                <a:srgbClr val="0000FF"/>
              </a:solidFill>
            </a:rPr>
            <a:t>SG Stern Putzer II</a:t>
          </a:fld>
        </a:p>
      </xdr:txBody>
    </xdr:sp>
    <xdr:clientData/>
  </xdr:oneCellAnchor>
  <xdr:oneCellAnchor>
    <xdr:from>
      <xdr:col>57</xdr:col>
      <xdr:colOff>0</xdr:colOff>
      <xdr:row>42</xdr:row>
      <xdr:rowOff>9525</xdr:rowOff>
    </xdr:from>
    <xdr:ext cx="1333500" cy="200025"/>
    <xdr:sp textlink="'MANNSCHAFTEN+SPIELER'!B197">
      <xdr:nvSpPr>
        <xdr:cNvPr id="6" name="TextBox 76"/>
        <xdr:cNvSpPr txBox="1">
          <a:spLocks noChangeArrowheads="1"/>
        </xdr:cNvSpPr>
      </xdr:nvSpPr>
      <xdr:spPr>
        <a:xfrm>
          <a:off x="3800475" y="280987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6aa5860-a628-4c31-b4b6-5b6ec9858afa}" type="TxLink">
            <a:rPr lang="en-US" cap="none" sz="1000" b="1" i="0" u="none" baseline="0">
              <a:solidFill>
                <a:srgbClr val="0000FF"/>
              </a:solidFill>
            </a:rPr>
            <a:t>TV Rheinau</a:t>
          </a:fld>
        </a:p>
      </xdr:txBody>
    </xdr:sp>
    <xdr:clientData/>
  </xdr:oneCellAnchor>
  <xdr:oneCellAnchor>
    <xdr:from>
      <xdr:col>57</xdr:col>
      <xdr:colOff>0</xdr:colOff>
      <xdr:row>39</xdr:row>
      <xdr:rowOff>9525</xdr:rowOff>
    </xdr:from>
    <xdr:ext cx="1333500" cy="200025"/>
    <xdr:sp textlink="'MANNSCHAFTEN+SPIELER'!B176">
      <xdr:nvSpPr>
        <xdr:cNvPr id="7" name="TextBox 77"/>
        <xdr:cNvSpPr txBox="1">
          <a:spLocks noChangeArrowheads="1"/>
        </xdr:cNvSpPr>
      </xdr:nvSpPr>
      <xdr:spPr>
        <a:xfrm>
          <a:off x="3800475" y="260985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2d81023-5652-4de2-9b3c-bca202d4fac1}" type="TxLink">
            <a:rPr lang="en-US" cap="none" sz="1000" b="1" i="0" u="none" baseline="0">
              <a:solidFill>
                <a:srgbClr val="0000FF"/>
              </a:solidFill>
            </a:rPr>
            <a:t>Familienbande</a:t>
          </a:fld>
        </a:p>
      </xdr:txBody>
    </xdr:sp>
    <xdr:clientData/>
  </xdr:oneCellAnchor>
  <xdr:oneCellAnchor>
    <xdr:from>
      <xdr:col>57</xdr:col>
      <xdr:colOff>0</xdr:colOff>
      <xdr:row>36</xdr:row>
      <xdr:rowOff>0</xdr:rowOff>
    </xdr:from>
    <xdr:ext cx="1333500" cy="200025"/>
    <xdr:sp textlink="'MANNSCHAFTEN+SPIELER'!B154">
      <xdr:nvSpPr>
        <xdr:cNvPr id="8" name="TextBox 78"/>
        <xdr:cNvSpPr txBox="1">
          <a:spLocks noChangeArrowheads="1"/>
        </xdr:cNvSpPr>
      </xdr:nvSpPr>
      <xdr:spPr>
        <a:xfrm>
          <a:off x="3800475" y="240030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a931f4e-6e04-4743-a115-baaca8d89878}" type="TxLink">
            <a:rPr lang="en-US" cap="none" sz="1000" b="1" i="0" u="none" baseline="0">
              <a:solidFill>
                <a:srgbClr val="0000FF"/>
              </a:solidFill>
            </a:rPr>
            <a:t>Voll Druff Kirrlach I</a:t>
          </a:fld>
        </a:p>
      </xdr:txBody>
    </xdr:sp>
    <xdr:clientData/>
  </xdr:oneCellAnchor>
  <xdr:oneCellAnchor>
    <xdr:from>
      <xdr:col>57</xdr:col>
      <xdr:colOff>0</xdr:colOff>
      <xdr:row>33</xdr:row>
      <xdr:rowOff>0</xdr:rowOff>
    </xdr:from>
    <xdr:ext cx="1333500" cy="200025"/>
    <xdr:sp textlink="'MANNSCHAFTEN+SPIELER'!B133">
      <xdr:nvSpPr>
        <xdr:cNvPr id="9" name="TextBox 79"/>
        <xdr:cNvSpPr txBox="1">
          <a:spLocks noChangeArrowheads="1"/>
        </xdr:cNvSpPr>
      </xdr:nvSpPr>
      <xdr:spPr>
        <a:xfrm>
          <a:off x="3800475" y="220027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82842e5-be3d-453d-a283-66cdbbfafae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57</xdr:col>
      <xdr:colOff>0</xdr:colOff>
      <xdr:row>30</xdr:row>
      <xdr:rowOff>0</xdr:rowOff>
    </xdr:from>
    <xdr:ext cx="1333500" cy="200025"/>
    <xdr:sp textlink="'MANNSCHAFTEN+SPIELER'!B112">
      <xdr:nvSpPr>
        <xdr:cNvPr id="10" name="TextBox 80"/>
        <xdr:cNvSpPr txBox="1">
          <a:spLocks noChangeArrowheads="1"/>
        </xdr:cNvSpPr>
      </xdr:nvSpPr>
      <xdr:spPr>
        <a:xfrm>
          <a:off x="3800475" y="200025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793a936-39d4-49b6-b413-1bcf54544b18}" type="TxLink">
            <a:rPr lang="en-US" cap="none" sz="1000" b="1" i="0" u="none" baseline="0">
              <a:solidFill>
                <a:srgbClr val="0000FF"/>
              </a:solidFill>
            </a:rPr>
            <a:t>Hau Druff Worms</a:t>
          </a:fld>
        </a:p>
      </xdr:txBody>
    </xdr:sp>
    <xdr:clientData/>
  </xdr:oneCellAnchor>
  <xdr:oneCellAnchor>
    <xdr:from>
      <xdr:col>57</xdr:col>
      <xdr:colOff>0</xdr:colOff>
      <xdr:row>27</xdr:row>
      <xdr:rowOff>0</xdr:rowOff>
    </xdr:from>
    <xdr:ext cx="1333500" cy="200025"/>
    <xdr:sp textlink="'MANNSCHAFTEN+SPIELER'!B91">
      <xdr:nvSpPr>
        <xdr:cNvPr id="11" name="TextBox 81"/>
        <xdr:cNvSpPr txBox="1">
          <a:spLocks noChangeArrowheads="1"/>
        </xdr:cNvSpPr>
      </xdr:nvSpPr>
      <xdr:spPr>
        <a:xfrm>
          <a:off x="3800475" y="180022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08b5503-1d1d-4a57-aa01-3e079dd251cf}" type="TxLink">
            <a:rPr lang="en-US" cap="none" sz="1000" b="1" i="0" u="none" baseline="0">
              <a:solidFill>
                <a:srgbClr val="0000FF"/>
              </a:solidFill>
            </a:rPr>
            <a:t>Los Ninos Eppelheim</a:t>
          </a:fld>
        </a:p>
      </xdr:txBody>
    </xdr:sp>
    <xdr:clientData/>
  </xdr:oneCellAnchor>
  <xdr:oneCellAnchor>
    <xdr:from>
      <xdr:col>57</xdr:col>
      <xdr:colOff>0</xdr:colOff>
      <xdr:row>24</xdr:row>
      <xdr:rowOff>0</xdr:rowOff>
    </xdr:from>
    <xdr:ext cx="1333500" cy="200025"/>
    <xdr:sp textlink="'MANNSCHAFTEN+SPIELER'!B69">
      <xdr:nvSpPr>
        <xdr:cNvPr id="12" name="TextBox 82"/>
        <xdr:cNvSpPr txBox="1">
          <a:spLocks noChangeArrowheads="1"/>
        </xdr:cNvSpPr>
      </xdr:nvSpPr>
      <xdr:spPr>
        <a:xfrm>
          <a:off x="3800475" y="160020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feda5f9-b2a8-4c91-9661-f18c3a841b7d}" type="TxLink">
            <a:rPr lang="en-US" cap="none" sz="1000" b="1" i="0" u="none" baseline="0">
              <a:solidFill>
                <a:srgbClr val="0000FF"/>
              </a:solidFill>
            </a:rPr>
            <a:t>Voll Druff Kirrlach II</a:t>
          </a:fld>
        </a:p>
      </xdr:txBody>
    </xdr:sp>
    <xdr:clientData/>
  </xdr:oneCellAnchor>
  <xdr:oneCellAnchor>
    <xdr:from>
      <xdr:col>57</xdr:col>
      <xdr:colOff>0</xdr:colOff>
      <xdr:row>21</xdr:row>
      <xdr:rowOff>0</xdr:rowOff>
    </xdr:from>
    <xdr:ext cx="1333500" cy="200025"/>
    <xdr:sp textlink="'MANNSCHAFTEN+SPIELER'!B48">
      <xdr:nvSpPr>
        <xdr:cNvPr id="13" name="TextBox 83"/>
        <xdr:cNvSpPr txBox="1">
          <a:spLocks noChangeArrowheads="1"/>
        </xdr:cNvSpPr>
      </xdr:nvSpPr>
      <xdr:spPr>
        <a:xfrm>
          <a:off x="3800475" y="140017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2fd33ed-2aca-4c0d-83d0-1280e03ee758}" type="TxLink">
            <a:rPr lang="en-US" cap="none" sz="1000" b="1" i="0" u="none" baseline="0">
              <a:solidFill>
                <a:srgbClr val="0000FF"/>
              </a:solidFill>
            </a:rPr>
            <a:t>SG Stern Putzer I</a:t>
          </a:fld>
        </a:p>
      </xdr:txBody>
    </xdr:sp>
    <xdr:clientData/>
  </xdr:oneCellAnchor>
  <xdr:oneCellAnchor>
    <xdr:from>
      <xdr:col>57</xdr:col>
      <xdr:colOff>0</xdr:colOff>
      <xdr:row>18</xdr:row>
      <xdr:rowOff>0</xdr:rowOff>
    </xdr:from>
    <xdr:ext cx="1333500" cy="200025"/>
    <xdr:sp textlink="'MANNSCHAFTEN+SPIELER'!B26">
      <xdr:nvSpPr>
        <xdr:cNvPr id="14" name="TextBox 84"/>
        <xdr:cNvSpPr txBox="1">
          <a:spLocks noChangeArrowheads="1"/>
        </xdr:cNvSpPr>
      </xdr:nvSpPr>
      <xdr:spPr>
        <a:xfrm>
          <a:off x="3800475" y="120015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1cf5e6d-9dbb-471b-92b0-b2e52dda7dfe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57</xdr:col>
      <xdr:colOff>0</xdr:colOff>
      <xdr:row>45</xdr:row>
      <xdr:rowOff>28575</xdr:rowOff>
    </xdr:from>
    <xdr:ext cx="1333500" cy="200025"/>
    <xdr:sp textlink="'MANNSCHAFTEN+SPIELER'!B218">
      <xdr:nvSpPr>
        <xdr:cNvPr id="15" name="TextBox 86"/>
        <xdr:cNvSpPr txBox="1">
          <a:spLocks noChangeArrowheads="1"/>
        </xdr:cNvSpPr>
      </xdr:nvSpPr>
      <xdr:spPr>
        <a:xfrm>
          <a:off x="3800475" y="302895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15f0b1f-c90a-457e-b372-b9836c28ec8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26</xdr:col>
      <xdr:colOff>0</xdr:colOff>
      <xdr:row>51</xdr:row>
      <xdr:rowOff>0</xdr:rowOff>
    </xdr:from>
    <xdr:ext cx="666750" cy="200025"/>
    <xdr:sp>
      <xdr:nvSpPr>
        <xdr:cNvPr id="16" name="TextBox 90"/>
        <xdr:cNvSpPr txBox="1">
          <a:spLocks noChangeArrowheads="1"/>
        </xdr:cNvSpPr>
      </xdr:nvSpPr>
      <xdr:spPr>
        <a:xfrm>
          <a:off x="1733550" y="34004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26</xdr:col>
      <xdr:colOff>0</xdr:colOff>
      <xdr:row>45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733550" y="30003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26</xdr:col>
      <xdr:colOff>0</xdr:colOff>
      <xdr:row>39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7335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26</xdr:col>
      <xdr:colOff>0</xdr:colOff>
      <xdr:row>33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733550" y="2200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26</xdr:col>
      <xdr:colOff>0</xdr:colOff>
      <xdr:row>27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733550" y="18002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26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7335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0</xdr:colOff>
      <xdr:row>9</xdr:row>
      <xdr:rowOff>0</xdr:rowOff>
    </xdr:from>
    <xdr:ext cx="600075" cy="200025"/>
    <xdr:sp>
      <xdr:nvSpPr>
        <xdr:cNvPr id="1" name="TextBox 73"/>
        <xdr:cNvSpPr txBox="1">
          <a:spLocks noChangeArrowheads="1"/>
        </xdr:cNvSpPr>
      </xdr:nvSpPr>
      <xdr:spPr>
        <a:xfrm>
          <a:off x="1733550" y="60007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26</xdr:col>
      <xdr:colOff>0</xdr:colOff>
      <xdr:row>45</xdr:row>
      <xdr:rowOff>0</xdr:rowOff>
    </xdr:from>
    <xdr:ext cx="666750" cy="200025"/>
    <xdr:sp>
      <xdr:nvSpPr>
        <xdr:cNvPr id="2" name="TextBox 77"/>
        <xdr:cNvSpPr txBox="1">
          <a:spLocks noChangeArrowheads="1"/>
        </xdr:cNvSpPr>
      </xdr:nvSpPr>
      <xdr:spPr>
        <a:xfrm>
          <a:off x="1733550" y="30003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26</xdr:col>
      <xdr:colOff>0</xdr:colOff>
      <xdr:row>39</xdr:row>
      <xdr:rowOff>0</xdr:rowOff>
    </xdr:from>
    <xdr:ext cx="666750" cy="200025"/>
    <xdr:sp>
      <xdr:nvSpPr>
        <xdr:cNvPr id="3" name="TextBox 78"/>
        <xdr:cNvSpPr txBox="1">
          <a:spLocks noChangeArrowheads="1"/>
        </xdr:cNvSpPr>
      </xdr:nvSpPr>
      <xdr:spPr>
        <a:xfrm>
          <a:off x="17335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26</xdr:col>
      <xdr:colOff>0</xdr:colOff>
      <xdr:row>33</xdr:row>
      <xdr:rowOff>0</xdr:rowOff>
    </xdr:from>
    <xdr:ext cx="666750" cy="200025"/>
    <xdr:sp>
      <xdr:nvSpPr>
        <xdr:cNvPr id="4" name="TextBox 79"/>
        <xdr:cNvSpPr txBox="1">
          <a:spLocks noChangeArrowheads="1"/>
        </xdr:cNvSpPr>
      </xdr:nvSpPr>
      <xdr:spPr>
        <a:xfrm>
          <a:off x="1733550" y="2200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26</xdr:col>
      <xdr:colOff>0</xdr:colOff>
      <xdr:row>27</xdr:row>
      <xdr:rowOff>0</xdr:rowOff>
    </xdr:from>
    <xdr:ext cx="666750" cy="200025"/>
    <xdr:sp>
      <xdr:nvSpPr>
        <xdr:cNvPr id="5" name="TextBox 80"/>
        <xdr:cNvSpPr txBox="1">
          <a:spLocks noChangeArrowheads="1"/>
        </xdr:cNvSpPr>
      </xdr:nvSpPr>
      <xdr:spPr>
        <a:xfrm>
          <a:off x="1733550" y="18002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26</xdr:col>
      <xdr:colOff>0</xdr:colOff>
      <xdr:row>21</xdr:row>
      <xdr:rowOff>0</xdr:rowOff>
    </xdr:from>
    <xdr:ext cx="666750" cy="200025"/>
    <xdr:sp>
      <xdr:nvSpPr>
        <xdr:cNvPr id="6" name="TextBox 81"/>
        <xdr:cNvSpPr txBox="1">
          <a:spLocks noChangeArrowheads="1"/>
        </xdr:cNvSpPr>
      </xdr:nvSpPr>
      <xdr:spPr>
        <a:xfrm>
          <a:off x="17335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26</xdr:col>
      <xdr:colOff>0</xdr:colOff>
      <xdr:row>15</xdr:row>
      <xdr:rowOff>0</xdr:rowOff>
    </xdr:from>
    <xdr:ext cx="666750" cy="200025"/>
    <xdr:sp>
      <xdr:nvSpPr>
        <xdr:cNvPr id="7" name="TextBox 82"/>
        <xdr:cNvSpPr txBox="1">
          <a:spLocks noChangeArrowheads="1"/>
        </xdr:cNvSpPr>
      </xdr:nvSpPr>
      <xdr:spPr>
        <a:xfrm>
          <a:off x="17335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66900" cy="266700"/>
    <xdr:sp textlink="'MANNSCHAFTEN+SPIELER'!P4">
      <xdr:nvSpPr>
        <xdr:cNvPr id="8" name="TextBox 89"/>
        <xdr:cNvSpPr txBox="1">
          <a:spLocks noChangeArrowheads="1"/>
        </xdr:cNvSpPr>
      </xdr:nvSpPr>
      <xdr:spPr>
        <a:xfrm>
          <a:off x="1666875" y="266700"/>
          <a:ext cx="1866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9eb1f71-f50f-41fc-9924-7fba3ed044de}" type="TxLink">
            <a:rPr lang="en-US" cap="none" sz="1200" b="1" i="0" u="none" baseline="0">
              <a:solidFill>
                <a:srgbClr val="0000FF"/>
              </a:solidFill>
            </a:rPr>
            <a:t>0</a:t>
          </a:fld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0</xdr:rowOff>
    </xdr:from>
    <xdr:to>
      <xdr:col>37</xdr:col>
      <xdr:colOff>0</xdr:colOff>
      <xdr:row>55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2466975" y="533400"/>
          <a:ext cx="0" cy="3133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2" name="Line 39"/>
        <xdr:cNvSpPr>
          <a:spLocks/>
        </xdr:cNvSpPr>
      </xdr:nvSpPr>
      <xdr:spPr>
        <a:xfrm>
          <a:off x="666750" y="1400175"/>
          <a:ext cx="1733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21</xdr:row>
      <xdr:rowOff>0</xdr:rowOff>
    </xdr:from>
    <xdr:ext cx="1600200" cy="333375"/>
    <xdr:sp>
      <xdr:nvSpPr>
        <xdr:cNvPr id="4" name="TextBox 57"/>
        <xdr:cNvSpPr txBox="1">
          <a:spLocks noChangeArrowheads="1"/>
        </xdr:cNvSpPr>
      </xdr:nvSpPr>
      <xdr:spPr>
        <a:xfrm>
          <a:off x="733425" y="1400175"/>
          <a:ext cx="1600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Schiedsrichter/ Spielleiterleistung 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O.K.</a:t>
          </a:r>
        </a:p>
      </xdr:txBody>
    </xdr:sp>
    <xdr:clientData/>
  </xdr:oneCellAnchor>
  <xdr:oneCellAnchor>
    <xdr:from>
      <xdr:col>11</xdr:col>
      <xdr:colOff>0</xdr:colOff>
      <xdr:row>29</xdr:row>
      <xdr:rowOff>19050</xdr:rowOff>
    </xdr:from>
    <xdr:ext cx="1066800" cy="133350"/>
    <xdr:sp>
      <xdr:nvSpPr>
        <xdr:cNvPr id="5" name="TextBox 60"/>
        <xdr:cNvSpPr txBox="1">
          <a:spLocks noChangeArrowheads="1"/>
        </xdr:cNvSpPr>
      </xdr:nvSpPr>
      <xdr:spPr>
        <a:xfrm>
          <a:off x="733425" y="1952625"/>
          <a:ext cx="1066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11</xdr:col>
      <xdr:colOff>0</xdr:colOff>
      <xdr:row>34</xdr:row>
      <xdr:rowOff>19050</xdr:rowOff>
    </xdr:from>
    <xdr:ext cx="1066800" cy="133350"/>
    <xdr:sp>
      <xdr:nvSpPr>
        <xdr:cNvPr id="6" name="TextBox 61"/>
        <xdr:cNvSpPr txBox="1">
          <a:spLocks noChangeArrowheads="1"/>
        </xdr:cNvSpPr>
      </xdr:nvSpPr>
      <xdr:spPr>
        <a:xfrm>
          <a:off x="733425" y="2286000"/>
          <a:ext cx="1066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600075" cy="200025"/>
    <xdr:sp>
      <xdr:nvSpPr>
        <xdr:cNvPr id="7" name="TextBox 65"/>
        <xdr:cNvSpPr txBox="1">
          <a:spLocks noChangeArrowheads="1"/>
        </xdr:cNvSpPr>
      </xdr:nvSpPr>
      <xdr:spPr>
        <a:xfrm>
          <a:off x="4200525" y="1800225"/>
          <a:ext cx="600075" cy="200025"/>
        </a:xfrm>
        <a:prstGeom prst="rect">
          <a:avLst/>
        </a:prstGeom>
        <a:solidFill>
          <a:srgbClr val="3399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Spiel</a:t>
          </a:r>
        </a:p>
      </xdr:txBody>
    </xdr:sp>
    <xdr:clientData/>
  </xdr:oneCellAnchor>
  <xdr:oneCellAnchor>
    <xdr:from>
      <xdr:col>11</xdr:col>
      <xdr:colOff>0</xdr:colOff>
      <xdr:row>39</xdr:row>
      <xdr:rowOff>19050</xdr:rowOff>
    </xdr:from>
    <xdr:ext cx="1600200" cy="171450"/>
    <xdr:sp>
      <xdr:nvSpPr>
        <xdr:cNvPr id="8" name="TextBox 92"/>
        <xdr:cNvSpPr txBox="1">
          <a:spLocks noChangeArrowheads="1"/>
        </xdr:cNvSpPr>
      </xdr:nvSpPr>
      <xdr:spPr>
        <a:xfrm>
          <a:off x="733425" y="2619375"/>
          <a:ext cx="1600200" cy="171450"/>
        </a:xfrm>
        <a:prstGeom prst="rect">
          <a:avLst/>
        </a:prstGeom>
        <a:solidFill>
          <a:srgbClr val="339933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Kegelanlage</a:t>
          </a:r>
        </a:p>
      </xdr:txBody>
    </xdr:sp>
    <xdr:clientData/>
  </xdr:oneCellAnchor>
  <xdr:oneCellAnchor>
    <xdr:from>
      <xdr:col>82</xdr:col>
      <xdr:colOff>0</xdr:colOff>
      <xdr:row>11</xdr:row>
      <xdr:rowOff>0</xdr:rowOff>
    </xdr:from>
    <xdr:ext cx="1466850" cy="266700"/>
    <xdr:sp>
      <xdr:nvSpPr>
        <xdr:cNvPr id="9" name="TextBox 106"/>
        <xdr:cNvSpPr txBox="1">
          <a:spLocks noChangeArrowheads="1"/>
        </xdr:cNvSpPr>
      </xdr:nvSpPr>
      <xdr:spPr>
        <a:xfrm>
          <a:off x="5467350" y="733425"/>
          <a:ext cx="1466850" cy="266700"/>
        </a:xfrm>
        <a:prstGeom prst="rect">
          <a:avLst/>
        </a:prstGeom>
        <a:solidFill>
          <a:srgbClr val="339933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twoCellAnchor>
    <xdr:from>
      <xdr:col>82</xdr:col>
      <xdr:colOff>0</xdr:colOff>
      <xdr:row>8</xdr:row>
      <xdr:rowOff>0</xdr:rowOff>
    </xdr:from>
    <xdr:to>
      <xdr:col>82</xdr:col>
      <xdr:colOff>0</xdr:colOff>
      <xdr:row>55</xdr:row>
      <xdr:rowOff>0</xdr:rowOff>
    </xdr:to>
    <xdr:sp>
      <xdr:nvSpPr>
        <xdr:cNvPr id="10" name="Line 107"/>
        <xdr:cNvSpPr>
          <a:spLocks/>
        </xdr:cNvSpPr>
      </xdr:nvSpPr>
      <xdr:spPr>
        <a:xfrm flipV="1">
          <a:off x="5467350" y="533400"/>
          <a:ext cx="0" cy="3133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85</xdr:col>
      <xdr:colOff>0</xdr:colOff>
      <xdr:row>16</xdr:row>
      <xdr:rowOff>19050</xdr:rowOff>
    </xdr:from>
    <xdr:ext cx="1333500" cy="200025"/>
    <xdr:sp textlink="'MANNSCHAFTEN+SPIELER'!B4">
      <xdr:nvSpPr>
        <xdr:cNvPr id="11" name="TextBox 144"/>
        <xdr:cNvSpPr txBox="1">
          <a:spLocks noChangeArrowheads="1"/>
        </xdr:cNvSpPr>
      </xdr:nvSpPr>
      <xdr:spPr>
        <a:xfrm>
          <a:off x="5667375" y="108585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b123059-0e17-4c8f-8ca9-6eec119fbead}" type="TxLink">
            <a:rPr lang="en-US" cap="none" sz="1000" b="1" i="0" u="none" baseline="0">
              <a:solidFill>
                <a:srgbClr val="0000FF"/>
              </a:solidFill>
            </a:rPr>
            <a:t>SG Stern Putzer II</a:t>
          </a:fld>
        </a:p>
      </xdr:txBody>
    </xdr:sp>
    <xdr:clientData/>
  </xdr:oneCellAnchor>
  <xdr:oneCellAnchor>
    <xdr:from>
      <xdr:col>85</xdr:col>
      <xdr:colOff>0</xdr:colOff>
      <xdr:row>43</xdr:row>
      <xdr:rowOff>28575</xdr:rowOff>
    </xdr:from>
    <xdr:ext cx="1333500" cy="200025"/>
    <xdr:sp textlink="'MANNSCHAFTEN+SPIELER'!B197">
      <xdr:nvSpPr>
        <xdr:cNvPr id="12" name="TextBox 145"/>
        <xdr:cNvSpPr txBox="1">
          <a:spLocks noChangeArrowheads="1"/>
        </xdr:cNvSpPr>
      </xdr:nvSpPr>
      <xdr:spPr>
        <a:xfrm>
          <a:off x="5667375" y="289560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c5ff106-4a97-4093-a155-ab5d239b2be8}" type="TxLink">
            <a:rPr lang="en-US" cap="none" sz="1000" b="1" i="0" u="none" baseline="0">
              <a:solidFill>
                <a:srgbClr val="0000FF"/>
              </a:solidFill>
            </a:rPr>
            <a:t>TV Rheinau</a:t>
          </a:fld>
        </a:p>
      </xdr:txBody>
    </xdr:sp>
    <xdr:clientData/>
  </xdr:oneCellAnchor>
  <xdr:oneCellAnchor>
    <xdr:from>
      <xdr:col>85</xdr:col>
      <xdr:colOff>0</xdr:colOff>
      <xdr:row>40</xdr:row>
      <xdr:rowOff>28575</xdr:rowOff>
    </xdr:from>
    <xdr:ext cx="1333500" cy="200025"/>
    <xdr:sp textlink="'MANNSCHAFTEN+SPIELER'!B176">
      <xdr:nvSpPr>
        <xdr:cNvPr id="13" name="TextBox 146"/>
        <xdr:cNvSpPr txBox="1">
          <a:spLocks noChangeArrowheads="1"/>
        </xdr:cNvSpPr>
      </xdr:nvSpPr>
      <xdr:spPr>
        <a:xfrm>
          <a:off x="5667375" y="269557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00ffcca-d079-41e5-b1d5-d74c93eb8af0}" type="TxLink">
            <a:rPr lang="en-US" cap="none" sz="1000" b="1" i="0" u="none" baseline="0">
              <a:solidFill>
                <a:srgbClr val="0000FF"/>
              </a:solidFill>
            </a:rPr>
            <a:t>Familienbande</a:t>
          </a:fld>
        </a:p>
      </xdr:txBody>
    </xdr:sp>
    <xdr:clientData/>
  </xdr:oneCellAnchor>
  <xdr:oneCellAnchor>
    <xdr:from>
      <xdr:col>85</xdr:col>
      <xdr:colOff>0</xdr:colOff>
      <xdr:row>37</xdr:row>
      <xdr:rowOff>19050</xdr:rowOff>
    </xdr:from>
    <xdr:ext cx="1333500" cy="200025"/>
    <xdr:sp textlink="'MANNSCHAFTEN+SPIELER'!B154">
      <xdr:nvSpPr>
        <xdr:cNvPr id="14" name="TextBox 147"/>
        <xdr:cNvSpPr txBox="1">
          <a:spLocks noChangeArrowheads="1"/>
        </xdr:cNvSpPr>
      </xdr:nvSpPr>
      <xdr:spPr>
        <a:xfrm>
          <a:off x="5667375" y="248602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b39c2c7-97de-4049-9eea-28cb4ffae627}" type="TxLink">
            <a:rPr lang="en-US" cap="none" sz="1000" b="1" i="0" u="none" baseline="0">
              <a:solidFill>
                <a:srgbClr val="0000FF"/>
              </a:solidFill>
            </a:rPr>
            <a:t>Voll Druff Kirrlach I</a:t>
          </a:fld>
        </a:p>
      </xdr:txBody>
    </xdr:sp>
    <xdr:clientData/>
  </xdr:oneCellAnchor>
  <xdr:oneCellAnchor>
    <xdr:from>
      <xdr:col>85</xdr:col>
      <xdr:colOff>0</xdr:colOff>
      <xdr:row>34</xdr:row>
      <xdr:rowOff>19050</xdr:rowOff>
    </xdr:from>
    <xdr:ext cx="1333500" cy="200025"/>
    <xdr:sp textlink="'MANNSCHAFTEN+SPIELER'!B133">
      <xdr:nvSpPr>
        <xdr:cNvPr id="15" name="TextBox 148"/>
        <xdr:cNvSpPr txBox="1">
          <a:spLocks noChangeArrowheads="1"/>
        </xdr:cNvSpPr>
      </xdr:nvSpPr>
      <xdr:spPr>
        <a:xfrm>
          <a:off x="5667375" y="228600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802d6a7-aedf-4067-aa16-0a2666c8904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85</xdr:col>
      <xdr:colOff>0</xdr:colOff>
      <xdr:row>31</xdr:row>
      <xdr:rowOff>19050</xdr:rowOff>
    </xdr:from>
    <xdr:ext cx="1333500" cy="200025"/>
    <xdr:sp textlink="'MANNSCHAFTEN+SPIELER'!B112">
      <xdr:nvSpPr>
        <xdr:cNvPr id="16" name="TextBox 149"/>
        <xdr:cNvSpPr txBox="1">
          <a:spLocks noChangeArrowheads="1"/>
        </xdr:cNvSpPr>
      </xdr:nvSpPr>
      <xdr:spPr>
        <a:xfrm>
          <a:off x="5667375" y="208597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f90a9a0-1b9a-48f8-8c4a-ea1362bdf93b}" type="TxLink">
            <a:rPr lang="en-US" cap="none" sz="1000" b="1" i="0" u="none" baseline="0">
              <a:solidFill>
                <a:srgbClr val="0000FF"/>
              </a:solidFill>
            </a:rPr>
            <a:t>Hau Druff Worms</a:t>
          </a:fld>
        </a:p>
      </xdr:txBody>
    </xdr:sp>
    <xdr:clientData/>
  </xdr:oneCellAnchor>
  <xdr:oneCellAnchor>
    <xdr:from>
      <xdr:col>85</xdr:col>
      <xdr:colOff>0</xdr:colOff>
      <xdr:row>28</xdr:row>
      <xdr:rowOff>19050</xdr:rowOff>
    </xdr:from>
    <xdr:ext cx="1333500" cy="200025"/>
    <xdr:sp textlink="'MANNSCHAFTEN+SPIELER'!B91">
      <xdr:nvSpPr>
        <xdr:cNvPr id="17" name="TextBox 150"/>
        <xdr:cNvSpPr txBox="1">
          <a:spLocks noChangeArrowheads="1"/>
        </xdr:cNvSpPr>
      </xdr:nvSpPr>
      <xdr:spPr>
        <a:xfrm>
          <a:off x="5667375" y="188595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d25a3c4-ce41-4d24-b02e-c2378a339d1b}" type="TxLink">
            <a:rPr lang="en-US" cap="none" sz="1000" b="1" i="0" u="none" baseline="0">
              <a:solidFill>
                <a:srgbClr val="0000FF"/>
              </a:solidFill>
            </a:rPr>
            <a:t>Los Ninos Eppelheim</a:t>
          </a:fld>
        </a:p>
      </xdr:txBody>
    </xdr:sp>
    <xdr:clientData/>
  </xdr:oneCellAnchor>
  <xdr:oneCellAnchor>
    <xdr:from>
      <xdr:col>85</xdr:col>
      <xdr:colOff>0</xdr:colOff>
      <xdr:row>25</xdr:row>
      <xdr:rowOff>19050</xdr:rowOff>
    </xdr:from>
    <xdr:ext cx="1333500" cy="200025"/>
    <xdr:sp textlink="'MANNSCHAFTEN+SPIELER'!B69">
      <xdr:nvSpPr>
        <xdr:cNvPr id="18" name="TextBox 151"/>
        <xdr:cNvSpPr txBox="1">
          <a:spLocks noChangeArrowheads="1"/>
        </xdr:cNvSpPr>
      </xdr:nvSpPr>
      <xdr:spPr>
        <a:xfrm>
          <a:off x="5667375" y="168592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557d332-8dc1-4baa-8ed2-08220cadc17f}" type="TxLink">
            <a:rPr lang="en-US" cap="none" sz="1000" b="1" i="0" u="none" baseline="0">
              <a:solidFill>
                <a:srgbClr val="0000FF"/>
              </a:solidFill>
            </a:rPr>
            <a:t>Voll Druff Kirrlach II</a:t>
          </a:fld>
        </a:p>
      </xdr:txBody>
    </xdr:sp>
    <xdr:clientData/>
  </xdr:oneCellAnchor>
  <xdr:oneCellAnchor>
    <xdr:from>
      <xdr:col>85</xdr:col>
      <xdr:colOff>0</xdr:colOff>
      <xdr:row>22</xdr:row>
      <xdr:rowOff>19050</xdr:rowOff>
    </xdr:from>
    <xdr:ext cx="1333500" cy="200025"/>
    <xdr:sp textlink="'MANNSCHAFTEN+SPIELER'!B48">
      <xdr:nvSpPr>
        <xdr:cNvPr id="19" name="TextBox 152"/>
        <xdr:cNvSpPr txBox="1">
          <a:spLocks noChangeArrowheads="1"/>
        </xdr:cNvSpPr>
      </xdr:nvSpPr>
      <xdr:spPr>
        <a:xfrm>
          <a:off x="5667375" y="148590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9c3f9e6-22ca-4715-bc0f-68dcef21c174}" type="TxLink">
            <a:rPr lang="en-US" cap="none" sz="1000" b="1" i="0" u="none" baseline="0">
              <a:solidFill>
                <a:srgbClr val="0000FF"/>
              </a:solidFill>
            </a:rPr>
            <a:t>SG Stern Putzer I</a:t>
          </a:fld>
        </a:p>
      </xdr:txBody>
    </xdr:sp>
    <xdr:clientData/>
  </xdr:oneCellAnchor>
  <xdr:oneCellAnchor>
    <xdr:from>
      <xdr:col>85</xdr:col>
      <xdr:colOff>0</xdr:colOff>
      <xdr:row>19</xdr:row>
      <xdr:rowOff>19050</xdr:rowOff>
    </xdr:from>
    <xdr:ext cx="1333500" cy="200025"/>
    <xdr:sp textlink="'MANNSCHAFTEN+SPIELER'!B26">
      <xdr:nvSpPr>
        <xdr:cNvPr id="20" name="TextBox 153"/>
        <xdr:cNvSpPr txBox="1">
          <a:spLocks noChangeArrowheads="1"/>
        </xdr:cNvSpPr>
      </xdr:nvSpPr>
      <xdr:spPr>
        <a:xfrm>
          <a:off x="5667375" y="128587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252eb26-1e72-4ac5-b668-e901e9d6274d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85</xdr:col>
      <xdr:colOff>0</xdr:colOff>
      <xdr:row>46</xdr:row>
      <xdr:rowOff>47625</xdr:rowOff>
    </xdr:from>
    <xdr:ext cx="1333500" cy="200025"/>
    <xdr:sp textlink="'MANNSCHAFTEN+SPIELER'!B218">
      <xdr:nvSpPr>
        <xdr:cNvPr id="21" name="TextBox 154"/>
        <xdr:cNvSpPr txBox="1">
          <a:spLocks noChangeArrowheads="1"/>
        </xdr:cNvSpPr>
      </xdr:nvSpPr>
      <xdr:spPr>
        <a:xfrm>
          <a:off x="5667375" y="311467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4eebc1d-4720-4450-b70b-58d0fa0ec93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D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0.140625" style="0" customWidth="1"/>
    <col min="2" max="2" width="21.421875" style="0" bestFit="1" customWidth="1"/>
    <col min="3" max="3" width="26.140625" style="0" customWidth="1"/>
  </cols>
  <sheetData>
    <row r="2" ht="25.5">
      <c r="A2" s="11" t="s">
        <v>141</v>
      </c>
    </row>
    <row r="3" ht="12.75" customHeight="1">
      <c r="A3" s="11"/>
    </row>
    <row r="4" ht="12.75" customHeight="1">
      <c r="A4" t="s">
        <v>134</v>
      </c>
    </row>
    <row r="5" ht="12.75" customHeight="1">
      <c r="A5" t="s">
        <v>142</v>
      </c>
    </row>
    <row r="6" ht="12.75" customHeight="1">
      <c r="A6" t="s">
        <v>159</v>
      </c>
    </row>
    <row r="7" ht="13.5" customHeight="1"/>
    <row r="8" ht="12.75">
      <c r="A8" s="3" t="s">
        <v>153</v>
      </c>
    </row>
    <row r="9" spans="1:4" ht="12.75">
      <c r="A9" s="148" t="s">
        <v>128</v>
      </c>
      <c r="C9" t="s">
        <v>129</v>
      </c>
      <c r="D9" t="s">
        <v>146</v>
      </c>
    </row>
    <row r="10" spans="1:3" ht="12.75">
      <c r="A10" s="148" t="s">
        <v>143</v>
      </c>
      <c r="B10" t="s">
        <v>130</v>
      </c>
      <c r="C10" t="s">
        <v>131</v>
      </c>
    </row>
    <row r="11" ht="12.75">
      <c r="C11" t="s">
        <v>132</v>
      </c>
    </row>
    <row r="12" ht="12.75">
      <c r="C12" t="s">
        <v>133</v>
      </c>
    </row>
    <row r="13" ht="12.75">
      <c r="C13" t="s">
        <v>148</v>
      </c>
    </row>
    <row r="14" spans="2:3" ht="12.75">
      <c r="B14" t="s">
        <v>135</v>
      </c>
      <c r="C14" t="s">
        <v>136</v>
      </c>
    </row>
    <row r="15" ht="12.75">
      <c r="C15" t="s">
        <v>138</v>
      </c>
    </row>
    <row r="16" spans="3:4" ht="12.75">
      <c r="C16" t="s">
        <v>137</v>
      </c>
      <c r="D16" t="s">
        <v>139</v>
      </c>
    </row>
    <row r="17" ht="12.75">
      <c r="D17" t="s">
        <v>147</v>
      </c>
    </row>
    <row r="18" ht="12.75">
      <c r="D18" t="s">
        <v>140</v>
      </c>
    </row>
    <row r="19" ht="12.75">
      <c r="D19" t="s">
        <v>156</v>
      </c>
    </row>
    <row r="20" ht="12.75">
      <c r="C20" t="s">
        <v>152</v>
      </c>
    </row>
    <row r="21" spans="1:2" ht="12.75">
      <c r="A21" s="148" t="s">
        <v>144</v>
      </c>
      <c r="B21" t="s">
        <v>145</v>
      </c>
    </row>
    <row r="24" spans="1:3" ht="25.5">
      <c r="A24" s="149" t="s">
        <v>149</v>
      </c>
      <c r="B24" s="144"/>
      <c r="C24" s="144"/>
    </row>
    <row r="25" spans="1:2" ht="12.75">
      <c r="A25" t="s">
        <v>150</v>
      </c>
      <c r="B25" t="s">
        <v>151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1:K12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2.421875" style="0" customWidth="1"/>
    <col min="2" max="2" width="22.7109375" style="200" customWidth="1"/>
    <col min="3" max="3" width="4.57421875" style="0" customWidth="1"/>
    <col min="4" max="4" width="13.421875" style="200" customWidth="1"/>
    <col min="5" max="5" width="13.421875" style="250" customWidth="1"/>
    <col min="6" max="6" width="14.28125" style="201" customWidth="1"/>
    <col min="7" max="7" width="11.28125" style="202" customWidth="1"/>
    <col min="8" max="8" width="11.57421875" style="0" bestFit="1" customWidth="1"/>
    <col min="9" max="9" width="9.140625" style="0" customWidth="1"/>
    <col min="10" max="10" width="12.7109375" style="0" customWidth="1"/>
  </cols>
  <sheetData>
    <row r="1" ht="15.75">
      <c r="A1" s="199" t="s">
        <v>262</v>
      </c>
    </row>
    <row r="2" spans="1:7" ht="15.75" customHeight="1">
      <c r="A2" s="203" t="s">
        <v>263</v>
      </c>
      <c r="B2" s="204" t="s">
        <v>264</v>
      </c>
      <c r="C2" s="205" t="s">
        <v>265</v>
      </c>
      <c r="D2" s="205" t="s">
        <v>41</v>
      </c>
      <c r="E2" s="251" t="s">
        <v>666</v>
      </c>
      <c r="F2" s="206" t="s">
        <v>266</v>
      </c>
      <c r="G2" s="207"/>
    </row>
    <row r="3" spans="1:7" ht="15" customHeight="1">
      <c r="A3" s="208"/>
      <c r="B3" s="209"/>
      <c r="C3" s="205" t="s">
        <v>267</v>
      </c>
      <c r="D3" s="209"/>
      <c r="E3" s="252"/>
      <c r="F3" s="206" t="s">
        <v>268</v>
      </c>
      <c r="G3" s="207"/>
    </row>
    <row r="4" spans="1:11" ht="15" customHeight="1">
      <c r="A4" s="210" t="s">
        <v>269</v>
      </c>
      <c r="B4" s="211" t="s">
        <v>270</v>
      </c>
      <c r="C4" s="205" t="s">
        <v>265</v>
      </c>
      <c r="D4" s="205" t="s">
        <v>218</v>
      </c>
      <c r="E4" s="251">
        <f>VLOOKUP(D4,'MANNSCHAFTEN+SPIELER'!F:Y,20,FALSE)</f>
        <v>21765</v>
      </c>
      <c r="F4" s="212" t="s">
        <v>271</v>
      </c>
      <c r="G4" s="213"/>
      <c r="H4" s="211" t="s">
        <v>391</v>
      </c>
      <c r="I4" t="s">
        <v>392</v>
      </c>
      <c r="J4" t="str">
        <f>H4&amp;", "&amp;I4</f>
        <v>Ammon, Petra</v>
      </c>
      <c r="K4" t="str">
        <f>+D4</f>
        <v>D120101</v>
      </c>
    </row>
    <row r="5" spans="1:11" ht="15" customHeight="1">
      <c r="A5" s="210" t="s">
        <v>269</v>
      </c>
      <c r="B5" s="211" t="s">
        <v>272</v>
      </c>
      <c r="C5" s="205" t="s">
        <v>267</v>
      </c>
      <c r="D5" s="205" t="s">
        <v>239</v>
      </c>
      <c r="E5" s="251">
        <f>VLOOKUP(D5,'MANNSCHAFTEN+SPIELER'!F:Y,20,FALSE)</f>
        <v>24483</v>
      </c>
      <c r="F5" s="212" t="s">
        <v>271</v>
      </c>
      <c r="G5" s="213"/>
      <c r="H5" s="211" t="s">
        <v>393</v>
      </c>
      <c r="I5" t="s">
        <v>394</v>
      </c>
      <c r="J5" t="str">
        <f aca="true" t="shared" si="0" ref="J5:J68">H5&amp;", "&amp;I5</f>
        <v>Bauer, Jürgen</v>
      </c>
      <c r="K5" t="str">
        <f aca="true" t="shared" si="1" ref="K5:K68">+D5</f>
        <v>D120102</v>
      </c>
    </row>
    <row r="6" spans="1:11" ht="15" customHeight="1">
      <c r="A6" s="210" t="s">
        <v>269</v>
      </c>
      <c r="B6" s="211" t="s">
        <v>273</v>
      </c>
      <c r="C6" s="214" t="s">
        <v>274</v>
      </c>
      <c r="D6" s="214" t="s">
        <v>187</v>
      </c>
      <c r="E6" s="251" t="e">
        <f>VLOOKUP(D6,'MANNSCHAFTEN+SPIELER'!F:Y,20,FALSE)</f>
        <v>#N/A</v>
      </c>
      <c r="F6" s="215"/>
      <c r="G6" s="213"/>
      <c r="H6" s="211" t="s">
        <v>393</v>
      </c>
      <c r="I6" t="s">
        <v>395</v>
      </c>
      <c r="J6" t="str">
        <f t="shared" si="0"/>
        <v>Bauer, Peter</v>
      </c>
      <c r="K6" t="str">
        <f t="shared" si="1"/>
        <v>D092000</v>
      </c>
    </row>
    <row r="7" spans="1:11" ht="15" customHeight="1">
      <c r="A7" s="216" t="s">
        <v>275</v>
      </c>
      <c r="B7" s="211" t="s">
        <v>276</v>
      </c>
      <c r="C7" s="205" t="s">
        <v>267</v>
      </c>
      <c r="D7" s="205" t="s">
        <v>259</v>
      </c>
      <c r="E7" s="251" t="e">
        <f>VLOOKUP(D7,'MANNSCHAFTEN+SPIELER'!F:Y,20,FALSE)</f>
        <v>#N/A</v>
      </c>
      <c r="F7" s="212"/>
      <c r="G7" s="217"/>
      <c r="H7" s="211" t="s">
        <v>396</v>
      </c>
      <c r="I7" t="s">
        <v>397</v>
      </c>
      <c r="J7" t="str">
        <f t="shared" si="0"/>
        <v>Baust, Bernd</v>
      </c>
      <c r="K7" t="str">
        <f t="shared" si="1"/>
        <v>D092038</v>
      </c>
    </row>
    <row r="8" spans="1:11" ht="15" customHeight="1">
      <c r="A8" s="210" t="s">
        <v>269</v>
      </c>
      <c r="B8" s="211" t="s">
        <v>277</v>
      </c>
      <c r="C8" s="205" t="s">
        <v>267</v>
      </c>
      <c r="D8" s="205" t="s">
        <v>203</v>
      </c>
      <c r="E8" s="251">
        <f>VLOOKUP(D8,'MANNSCHAFTEN+SPIELER'!F:Y,20,FALSE)</f>
        <v>16462</v>
      </c>
      <c r="F8" s="212" t="s">
        <v>271</v>
      </c>
      <c r="G8" s="213"/>
      <c r="H8" s="211" t="s">
        <v>398</v>
      </c>
      <c r="I8" t="s">
        <v>399</v>
      </c>
      <c r="J8" t="str">
        <f t="shared" si="0"/>
        <v>Bendl, Otto</v>
      </c>
      <c r="K8" t="str">
        <f t="shared" si="1"/>
        <v>D120103</v>
      </c>
    </row>
    <row r="9" spans="1:11" ht="15" customHeight="1">
      <c r="A9" s="210" t="s">
        <v>269</v>
      </c>
      <c r="B9" s="211" t="s">
        <v>278</v>
      </c>
      <c r="C9" s="205" t="s">
        <v>265</v>
      </c>
      <c r="D9" s="205" t="s">
        <v>222</v>
      </c>
      <c r="E9" s="251">
        <f>VLOOKUP(D9,'MANNSCHAFTEN+SPIELER'!F:Y,20,FALSE)</f>
        <v>17409</v>
      </c>
      <c r="F9" s="215"/>
      <c r="G9" s="213"/>
      <c r="H9" s="211" t="s">
        <v>398</v>
      </c>
      <c r="I9" t="s">
        <v>400</v>
      </c>
      <c r="J9" t="str">
        <f t="shared" si="0"/>
        <v>Bendl, Waltraud</v>
      </c>
      <c r="K9" t="str">
        <f t="shared" si="1"/>
        <v>D120104</v>
      </c>
    </row>
    <row r="10" spans="1:11" ht="15" customHeight="1">
      <c r="A10" s="210" t="s">
        <v>269</v>
      </c>
      <c r="B10" s="211" t="s">
        <v>279</v>
      </c>
      <c r="C10" s="205" t="s">
        <v>280</v>
      </c>
      <c r="D10" s="218" t="s">
        <v>254</v>
      </c>
      <c r="E10" s="251">
        <f>VLOOKUP(D10,'MANNSCHAFTEN+SPIELER'!F:Y,20,FALSE)</f>
        <v>23203</v>
      </c>
      <c r="F10" s="212"/>
      <c r="G10" s="213"/>
      <c r="H10" s="211" t="s">
        <v>401</v>
      </c>
      <c r="I10" t="s">
        <v>402</v>
      </c>
      <c r="J10" t="str">
        <f t="shared" si="0"/>
        <v>Berlinghof, Annett</v>
      </c>
      <c r="K10" t="str">
        <f t="shared" si="1"/>
        <v>D120142</v>
      </c>
    </row>
    <row r="11" spans="1:11" ht="15" customHeight="1">
      <c r="A11" s="210" t="s">
        <v>269</v>
      </c>
      <c r="B11" s="219" t="s">
        <v>281</v>
      </c>
      <c r="C11" s="205" t="s">
        <v>267</v>
      </c>
      <c r="D11" s="220" t="s">
        <v>253</v>
      </c>
      <c r="E11" s="251">
        <f>VLOOKUP(D11,'MANNSCHAFTEN+SPIELER'!F:Y,20,FALSE)</f>
        <v>20183</v>
      </c>
      <c r="F11" s="212" t="s">
        <v>271</v>
      </c>
      <c r="G11" s="213"/>
      <c r="H11" s="219" t="s">
        <v>401</v>
      </c>
      <c r="I11" t="s">
        <v>403</v>
      </c>
      <c r="J11" t="str">
        <f t="shared" si="0"/>
        <v>Berlinghof, Dieter</v>
      </c>
      <c r="K11" t="str">
        <f t="shared" si="1"/>
        <v>D120143</v>
      </c>
    </row>
    <row r="12" spans="1:11" ht="15" customHeight="1">
      <c r="A12" s="221" t="s">
        <v>282</v>
      </c>
      <c r="B12" s="211" t="s">
        <v>283</v>
      </c>
      <c r="C12" s="214" t="s">
        <v>280</v>
      </c>
      <c r="D12" s="214" t="s">
        <v>185</v>
      </c>
      <c r="E12" s="251">
        <f>VLOOKUP(D12,'MANNSCHAFTEN+SPIELER'!F:Y,20,FALSE)</f>
        <v>25766</v>
      </c>
      <c r="F12" s="215"/>
      <c r="G12" s="213"/>
      <c r="H12" s="211" t="s">
        <v>404</v>
      </c>
      <c r="I12" t="s">
        <v>405</v>
      </c>
      <c r="J12" t="str">
        <f t="shared" si="0"/>
        <v>Böhm, Sibylle</v>
      </c>
      <c r="K12" t="str">
        <f t="shared" si="1"/>
        <v>D059019</v>
      </c>
    </row>
    <row r="13" spans="1:11" ht="15" customHeight="1">
      <c r="A13" s="221" t="s">
        <v>282</v>
      </c>
      <c r="B13" s="211" t="s">
        <v>284</v>
      </c>
      <c r="C13" s="214" t="s">
        <v>274</v>
      </c>
      <c r="D13" s="214" t="s">
        <v>177</v>
      </c>
      <c r="E13" s="251">
        <f>VLOOKUP(D13,'MANNSCHAFTEN+SPIELER'!F:Y,20,FALSE)</f>
        <v>23109</v>
      </c>
      <c r="F13" s="215"/>
      <c r="G13" s="213"/>
      <c r="H13" s="211" t="s">
        <v>404</v>
      </c>
      <c r="I13" t="s">
        <v>406</v>
      </c>
      <c r="J13" t="str">
        <f t="shared" si="0"/>
        <v>Böhm, Thomas</v>
      </c>
      <c r="K13" t="str">
        <f t="shared" si="1"/>
        <v>D059007</v>
      </c>
    </row>
    <row r="14" spans="1:11" ht="15" customHeight="1">
      <c r="A14" s="210" t="s">
        <v>269</v>
      </c>
      <c r="B14" s="211" t="s">
        <v>588</v>
      </c>
      <c r="C14" s="214" t="s">
        <v>280</v>
      </c>
      <c r="D14" s="214" t="s">
        <v>172</v>
      </c>
      <c r="E14" s="251">
        <f>VLOOKUP(D14,'MANNSCHAFTEN+SPIELER'!F:Y,20,FALSE)</f>
        <v>32828</v>
      </c>
      <c r="F14" s="215"/>
      <c r="G14" s="213"/>
      <c r="H14" s="211" t="s">
        <v>574</v>
      </c>
      <c r="I14" t="s">
        <v>407</v>
      </c>
      <c r="J14" t="str">
        <f t="shared" si="0"/>
        <v>Helmrich, Nadine</v>
      </c>
      <c r="K14" t="str">
        <f t="shared" si="1"/>
        <v>D025889</v>
      </c>
    </row>
    <row r="15" spans="1:11" ht="15" customHeight="1">
      <c r="A15" s="210" t="s">
        <v>285</v>
      </c>
      <c r="B15" s="211" t="s">
        <v>286</v>
      </c>
      <c r="C15" s="214" t="s">
        <v>274</v>
      </c>
      <c r="D15" s="214" t="s">
        <v>173</v>
      </c>
      <c r="E15" s="251">
        <f>VLOOKUP(D15,'MANNSCHAFTEN+SPIELER'!F:Y,20,FALSE)</f>
        <v>31715</v>
      </c>
      <c r="F15" s="215"/>
      <c r="G15" s="213"/>
      <c r="H15" s="211" t="s">
        <v>408</v>
      </c>
      <c r="I15" t="s">
        <v>409</v>
      </c>
      <c r="J15" t="str">
        <f t="shared" si="0"/>
        <v>Calvo, Daniel</v>
      </c>
      <c r="K15" t="str">
        <f t="shared" si="1"/>
        <v>D059011</v>
      </c>
    </row>
    <row r="16" spans="1:11" ht="15" customHeight="1">
      <c r="A16" s="210" t="s">
        <v>285</v>
      </c>
      <c r="B16" s="211" t="s">
        <v>287</v>
      </c>
      <c r="C16" s="205" t="s">
        <v>267</v>
      </c>
      <c r="D16" s="214" t="s">
        <v>288</v>
      </c>
      <c r="E16" s="251">
        <f>VLOOKUP(D16,'MANNSCHAFTEN+SPIELER'!F:Y,20,FALSE)</f>
        <v>22349</v>
      </c>
      <c r="F16" s="212"/>
      <c r="G16" s="213"/>
      <c r="H16" s="211" t="s">
        <v>408</v>
      </c>
      <c r="I16" t="s">
        <v>410</v>
      </c>
      <c r="J16" t="str">
        <f t="shared" si="0"/>
        <v>Calvo, Eduardo</v>
      </c>
      <c r="K16" t="str">
        <f t="shared" si="1"/>
        <v>D059020</v>
      </c>
    </row>
    <row r="17" spans="1:11" ht="15" customHeight="1">
      <c r="A17" s="210" t="s">
        <v>269</v>
      </c>
      <c r="B17" s="211" t="s">
        <v>289</v>
      </c>
      <c r="C17" s="205" t="s">
        <v>267</v>
      </c>
      <c r="D17" s="205" t="s">
        <v>237</v>
      </c>
      <c r="E17" s="251" t="e">
        <f>VLOOKUP(D17,'MANNSCHAFTEN+SPIELER'!F:Y,20,FALSE)</f>
        <v>#N/A</v>
      </c>
      <c r="F17" s="212" t="s">
        <v>271</v>
      </c>
      <c r="G17" s="213"/>
      <c r="H17" s="211" t="s">
        <v>411</v>
      </c>
      <c r="I17" t="s">
        <v>412</v>
      </c>
      <c r="J17" t="str">
        <f t="shared" si="0"/>
        <v>Dittrich, Alexander</v>
      </c>
      <c r="K17" t="str">
        <f t="shared" si="1"/>
        <v>D120105</v>
      </c>
    </row>
    <row r="18" spans="1:11" ht="15" customHeight="1">
      <c r="A18" s="210" t="s">
        <v>269</v>
      </c>
      <c r="B18" s="211" t="s">
        <v>290</v>
      </c>
      <c r="C18" s="205" t="s">
        <v>267</v>
      </c>
      <c r="D18" s="205" t="s">
        <v>234</v>
      </c>
      <c r="E18" s="251" t="e">
        <f>VLOOKUP(D18,'MANNSCHAFTEN+SPIELER'!F:Y,20,FALSE)</f>
        <v>#N/A</v>
      </c>
      <c r="F18" s="212" t="s">
        <v>271</v>
      </c>
      <c r="G18" s="213"/>
      <c r="H18" s="211" t="s">
        <v>411</v>
      </c>
      <c r="I18" t="s">
        <v>413</v>
      </c>
      <c r="J18" t="str">
        <f t="shared" si="0"/>
        <v>Dittrich, Hans-Jürgen</v>
      </c>
      <c r="K18" t="str">
        <f t="shared" si="1"/>
        <v>D120106</v>
      </c>
    </row>
    <row r="19" spans="1:11" ht="15" customHeight="1">
      <c r="A19" s="210" t="s">
        <v>269</v>
      </c>
      <c r="B19" s="211" t="s">
        <v>291</v>
      </c>
      <c r="C19" s="205" t="s">
        <v>267</v>
      </c>
      <c r="D19" s="205" t="s">
        <v>233</v>
      </c>
      <c r="E19" s="251">
        <f>VLOOKUP(D19,'MANNSCHAFTEN+SPIELER'!F:Y,20,FALSE)</f>
        <v>24919</v>
      </c>
      <c r="F19" s="212"/>
      <c r="G19" s="213"/>
      <c r="H19" s="211" t="s">
        <v>411</v>
      </c>
      <c r="I19" t="s">
        <v>414</v>
      </c>
      <c r="J19" t="str">
        <f t="shared" si="0"/>
        <v>Dittrich, Klaus</v>
      </c>
      <c r="K19" t="str">
        <f t="shared" si="1"/>
        <v>D120107</v>
      </c>
    </row>
    <row r="20" spans="1:11" ht="15" customHeight="1">
      <c r="A20" s="216" t="s">
        <v>292</v>
      </c>
      <c r="B20" s="211" t="s">
        <v>293</v>
      </c>
      <c r="C20" s="214" t="s">
        <v>280</v>
      </c>
      <c r="D20" s="214" t="s">
        <v>215</v>
      </c>
      <c r="E20" s="251">
        <f>VLOOKUP(D20,'MANNSCHAFTEN+SPIELER'!F:Y,20,FALSE)</f>
        <v>35699</v>
      </c>
      <c r="F20" s="215"/>
      <c r="G20" s="217"/>
      <c r="H20" s="211" t="s">
        <v>411</v>
      </c>
      <c r="I20" t="s">
        <v>415</v>
      </c>
      <c r="J20" t="str">
        <f t="shared" si="0"/>
        <v>Dittrich, Silvia</v>
      </c>
      <c r="K20" t="str">
        <f t="shared" si="1"/>
        <v>D059045</v>
      </c>
    </row>
    <row r="21" spans="1:11" ht="15" customHeight="1">
      <c r="A21" s="210" t="s">
        <v>269</v>
      </c>
      <c r="B21" s="211" t="s">
        <v>294</v>
      </c>
      <c r="C21" s="205" t="s">
        <v>265</v>
      </c>
      <c r="D21" s="205" t="s">
        <v>213</v>
      </c>
      <c r="E21" s="251">
        <f>VLOOKUP(D21,'MANNSCHAFTEN+SPIELER'!F:Y,20,FALSE)</f>
        <v>28904</v>
      </c>
      <c r="F21" s="212"/>
      <c r="G21" s="213"/>
      <c r="H21" s="211" t="s">
        <v>411</v>
      </c>
      <c r="I21" t="s">
        <v>416</v>
      </c>
      <c r="J21" t="str">
        <f t="shared" si="0"/>
        <v>Dittrich, Tanja</v>
      </c>
      <c r="K21" t="str">
        <f t="shared" si="1"/>
        <v>D120108</v>
      </c>
    </row>
    <row r="22" spans="1:11" ht="17.25" customHeight="1">
      <c r="A22" s="210" t="s">
        <v>269</v>
      </c>
      <c r="B22" s="211" t="s">
        <v>295</v>
      </c>
      <c r="C22" s="205" t="s">
        <v>265</v>
      </c>
      <c r="D22" s="205" t="s">
        <v>238</v>
      </c>
      <c r="E22" s="251">
        <f>VLOOKUP(D22,'MANNSCHAFTEN+SPIELER'!F:Y,20,FALSE)</f>
        <v>18985</v>
      </c>
      <c r="F22" s="212" t="s">
        <v>271</v>
      </c>
      <c r="G22" s="213"/>
      <c r="H22" s="211" t="s">
        <v>411</v>
      </c>
      <c r="I22" t="s">
        <v>400</v>
      </c>
      <c r="J22" t="str">
        <f t="shared" si="0"/>
        <v>Dittrich, Waltraud</v>
      </c>
      <c r="K22" t="str">
        <f t="shared" si="1"/>
        <v>D120109</v>
      </c>
    </row>
    <row r="23" spans="1:11" ht="15" customHeight="1">
      <c r="A23" s="216" t="s">
        <v>275</v>
      </c>
      <c r="B23" s="211" t="s">
        <v>296</v>
      </c>
      <c r="C23" s="205" t="s">
        <v>267</v>
      </c>
      <c r="D23" s="205" t="s">
        <v>261</v>
      </c>
      <c r="E23" s="251" t="e">
        <f>VLOOKUP(D23,'MANNSCHAFTEN+SPIELER'!F:Y,20,FALSE)</f>
        <v>#N/A</v>
      </c>
      <c r="F23" s="212" t="s">
        <v>271</v>
      </c>
      <c r="G23" s="217"/>
      <c r="H23" s="211" t="s">
        <v>417</v>
      </c>
      <c r="I23" t="s">
        <v>151</v>
      </c>
      <c r="J23" t="str">
        <f t="shared" si="0"/>
        <v>Drescher, Andreas</v>
      </c>
      <c r="K23" t="str">
        <f t="shared" si="1"/>
        <v>D092039</v>
      </c>
    </row>
    <row r="24" spans="1:11" ht="15" customHeight="1">
      <c r="A24" s="216" t="s">
        <v>275</v>
      </c>
      <c r="B24" s="211" t="s">
        <v>297</v>
      </c>
      <c r="C24" s="214" t="s">
        <v>280</v>
      </c>
      <c r="D24" s="214" t="s">
        <v>181</v>
      </c>
      <c r="E24" s="251">
        <f>VLOOKUP(D24,'MANNSCHAFTEN+SPIELER'!F:Y,20,FALSE)</f>
        <v>20233</v>
      </c>
      <c r="F24" s="212"/>
      <c r="G24" s="217"/>
      <c r="H24" s="211" t="s">
        <v>417</v>
      </c>
      <c r="I24" t="s">
        <v>418</v>
      </c>
      <c r="J24" t="str">
        <f t="shared" si="0"/>
        <v>Drescher, Roswitha</v>
      </c>
      <c r="K24" t="str">
        <f t="shared" si="1"/>
        <v>D026693</v>
      </c>
    </row>
    <row r="25" spans="1:11" ht="15" customHeight="1">
      <c r="A25" s="210" t="s">
        <v>269</v>
      </c>
      <c r="B25" s="211" t="s">
        <v>298</v>
      </c>
      <c r="C25" s="205" t="s">
        <v>267</v>
      </c>
      <c r="D25" s="205" t="s">
        <v>240</v>
      </c>
      <c r="E25" s="251">
        <f>VLOOKUP(D25,'MANNSCHAFTEN+SPIELER'!F:Y,20,FALSE)</f>
        <v>20225</v>
      </c>
      <c r="F25" s="212"/>
      <c r="G25" s="213"/>
      <c r="H25" s="211" t="s">
        <v>419</v>
      </c>
      <c r="I25" t="s">
        <v>420</v>
      </c>
      <c r="J25" t="str">
        <f t="shared" si="0"/>
        <v>Dumath, Joachim</v>
      </c>
      <c r="K25" t="str">
        <f t="shared" si="1"/>
        <v>D120110</v>
      </c>
    </row>
    <row r="26" spans="1:11" ht="15" customHeight="1">
      <c r="A26" s="210" t="s">
        <v>269</v>
      </c>
      <c r="B26" s="211" t="s">
        <v>299</v>
      </c>
      <c r="C26" s="205" t="s">
        <v>265</v>
      </c>
      <c r="D26" s="214" t="s">
        <v>300</v>
      </c>
      <c r="E26" s="251">
        <f>VLOOKUP(D26,'MANNSCHAFTEN+SPIELER'!F:Y,20,FALSE)</f>
        <v>20447</v>
      </c>
      <c r="F26" s="215"/>
      <c r="G26" s="213"/>
      <c r="H26" s="211" t="s">
        <v>421</v>
      </c>
      <c r="I26" t="s">
        <v>422</v>
      </c>
      <c r="J26" t="str">
        <f t="shared" si="0"/>
        <v>Edelbacher, Ute</v>
      </c>
      <c r="K26" t="str">
        <f t="shared" si="1"/>
        <v>D059023</v>
      </c>
    </row>
    <row r="27" spans="1:11" ht="15" customHeight="1">
      <c r="A27" s="210" t="s">
        <v>301</v>
      </c>
      <c r="B27" s="211" t="s">
        <v>302</v>
      </c>
      <c r="C27" s="205" t="s">
        <v>267</v>
      </c>
      <c r="D27" s="214" t="s">
        <v>303</v>
      </c>
      <c r="E27" s="251" t="e">
        <f>VLOOKUP(D27,'MANNSCHAFTEN+SPIELER'!F:Y,20,FALSE)</f>
        <v>#N/A</v>
      </c>
      <c r="F27" s="215"/>
      <c r="G27" s="213"/>
      <c r="H27" s="211" t="s">
        <v>423</v>
      </c>
      <c r="I27" t="s">
        <v>424</v>
      </c>
      <c r="J27" t="str">
        <f t="shared" si="0"/>
        <v>Fleischmann, Werner</v>
      </c>
      <c r="K27" t="str">
        <f t="shared" si="1"/>
        <v>D059038</v>
      </c>
    </row>
    <row r="28" spans="1:11" ht="15" customHeight="1">
      <c r="A28" s="210" t="s">
        <v>285</v>
      </c>
      <c r="B28" s="211" t="s">
        <v>304</v>
      </c>
      <c r="C28" s="214" t="s">
        <v>274</v>
      </c>
      <c r="D28" s="214" t="s">
        <v>175</v>
      </c>
      <c r="E28" s="251">
        <f>VLOOKUP(D28,'MANNSCHAFTEN+SPIELER'!F:Y,20,FALSE)</f>
        <v>20890</v>
      </c>
      <c r="F28" s="215"/>
      <c r="G28" s="213"/>
      <c r="H28" s="211" t="s">
        <v>425</v>
      </c>
      <c r="I28" t="s">
        <v>426</v>
      </c>
      <c r="J28" t="str">
        <f t="shared" si="0"/>
        <v>Fuchs, Günter</v>
      </c>
      <c r="K28" t="str">
        <f t="shared" si="1"/>
        <v>D059008</v>
      </c>
    </row>
    <row r="29" spans="1:11" ht="15" customHeight="1">
      <c r="A29" s="210" t="s">
        <v>269</v>
      </c>
      <c r="B29" s="211" t="s">
        <v>305</v>
      </c>
      <c r="C29" s="205" t="s">
        <v>274</v>
      </c>
      <c r="D29" s="222" t="s">
        <v>255</v>
      </c>
      <c r="E29" s="251">
        <f>VLOOKUP(D29,'MANNSCHAFTEN+SPIELER'!F:Y,20,FALSE)</f>
        <v>22862</v>
      </c>
      <c r="F29" s="212"/>
      <c r="G29" s="223" t="s">
        <v>306</v>
      </c>
      <c r="H29" s="211" t="s">
        <v>427</v>
      </c>
      <c r="I29" t="s">
        <v>428</v>
      </c>
      <c r="J29" t="str">
        <f t="shared" si="0"/>
        <v>Gäbert, Rainer</v>
      </c>
      <c r="K29" t="str">
        <f t="shared" si="1"/>
        <v>D120141</v>
      </c>
    </row>
    <row r="30" spans="1:11" ht="15" customHeight="1">
      <c r="A30" s="210" t="s">
        <v>269</v>
      </c>
      <c r="B30" s="219" t="s">
        <v>307</v>
      </c>
      <c r="C30" s="205" t="s">
        <v>265</v>
      </c>
      <c r="D30" s="224" t="s">
        <v>214</v>
      </c>
      <c r="E30" s="251" t="e">
        <f>VLOOKUP(D30,'MANNSCHAFTEN+SPIELER'!F:Y,20,FALSE)</f>
        <v>#N/A</v>
      </c>
      <c r="F30" s="212"/>
      <c r="G30" s="223" t="s">
        <v>306</v>
      </c>
      <c r="H30" s="219" t="s">
        <v>429</v>
      </c>
      <c r="I30" t="s">
        <v>430</v>
      </c>
      <c r="J30" t="str">
        <f t="shared" si="0"/>
        <v>Geiger, Anni</v>
      </c>
      <c r="K30" t="str">
        <f t="shared" si="1"/>
        <v>D120144</v>
      </c>
    </row>
    <row r="31" spans="1:11" ht="15" customHeight="1">
      <c r="A31" s="210" t="s">
        <v>269</v>
      </c>
      <c r="B31" s="211" t="s">
        <v>308</v>
      </c>
      <c r="C31" s="205" t="s">
        <v>267</v>
      </c>
      <c r="D31" s="205" t="s">
        <v>257</v>
      </c>
      <c r="E31" s="251">
        <f>VLOOKUP(D31,'MANNSCHAFTEN+SPIELER'!F:Y,20,FALSE)</f>
        <v>30059</v>
      </c>
      <c r="F31" s="212"/>
      <c r="G31" s="213"/>
      <c r="H31" s="211" t="s">
        <v>431</v>
      </c>
      <c r="I31" t="s">
        <v>409</v>
      </c>
      <c r="J31" t="str">
        <f t="shared" si="0"/>
        <v>Godulla, Daniel</v>
      </c>
      <c r="K31" t="str">
        <f t="shared" si="1"/>
        <v>D120111</v>
      </c>
    </row>
    <row r="32" spans="1:11" ht="15" customHeight="1">
      <c r="A32" s="210" t="s">
        <v>269</v>
      </c>
      <c r="B32" s="211" t="s">
        <v>309</v>
      </c>
      <c r="C32" s="205" t="s">
        <v>265</v>
      </c>
      <c r="D32" s="214" t="s">
        <v>246</v>
      </c>
      <c r="E32" s="251">
        <f>VLOOKUP(D32,'MANNSCHAFTEN+SPIELER'!F:Y,20,FALSE)</f>
        <v>21943</v>
      </c>
      <c r="F32" s="212"/>
      <c r="G32" s="213"/>
      <c r="H32" s="211" t="s">
        <v>432</v>
      </c>
      <c r="I32" t="s">
        <v>433</v>
      </c>
      <c r="J32" t="str">
        <f t="shared" si="0"/>
        <v>Götz, Doris</v>
      </c>
      <c r="K32" t="str">
        <f t="shared" si="1"/>
        <v>D059048</v>
      </c>
    </row>
    <row r="33" spans="1:11" ht="15" customHeight="1">
      <c r="A33" s="210" t="s">
        <v>269</v>
      </c>
      <c r="B33" s="211" t="s">
        <v>310</v>
      </c>
      <c r="C33" s="205" t="s">
        <v>267</v>
      </c>
      <c r="D33" s="214" t="s">
        <v>248</v>
      </c>
      <c r="E33" s="251">
        <f>VLOOKUP(D33,'MANNSCHAFTEN+SPIELER'!F:Y,20,FALSE)</f>
        <v>18185</v>
      </c>
      <c r="F33" s="215"/>
      <c r="G33" s="213"/>
      <c r="H33" s="211" t="s">
        <v>434</v>
      </c>
      <c r="I33" t="s">
        <v>435</v>
      </c>
      <c r="J33" t="str">
        <f t="shared" si="0"/>
        <v>Gurka, Hans</v>
      </c>
      <c r="K33" t="str">
        <f t="shared" si="1"/>
        <v>D059029</v>
      </c>
    </row>
    <row r="34" spans="1:11" ht="15" customHeight="1">
      <c r="A34" s="210" t="s">
        <v>269</v>
      </c>
      <c r="B34" s="211" t="s">
        <v>311</v>
      </c>
      <c r="C34" s="205" t="s">
        <v>267</v>
      </c>
      <c r="D34" s="205" t="s">
        <v>232</v>
      </c>
      <c r="E34" s="251">
        <f>VLOOKUP(D34,'MANNSCHAFTEN+SPIELER'!F:Y,20,FALSE)</f>
        <v>23388</v>
      </c>
      <c r="F34" s="215"/>
      <c r="G34" s="213"/>
      <c r="H34" s="211" t="s">
        <v>436</v>
      </c>
      <c r="I34" t="s">
        <v>437</v>
      </c>
      <c r="J34" t="str">
        <f t="shared" si="0"/>
        <v>Handschuh, Manfred</v>
      </c>
      <c r="K34" t="str">
        <f t="shared" si="1"/>
        <v>D120112</v>
      </c>
    </row>
    <row r="35" spans="1:11" ht="15" customHeight="1">
      <c r="A35" s="216" t="s">
        <v>292</v>
      </c>
      <c r="B35" s="211" t="s">
        <v>312</v>
      </c>
      <c r="C35" s="205" t="s">
        <v>265</v>
      </c>
      <c r="D35" s="205" t="s">
        <v>252</v>
      </c>
      <c r="E35" s="251" t="e">
        <f>VLOOKUP(D35,'MANNSCHAFTEN+SPIELER'!F:Y,20,FALSE)</f>
        <v>#N/A</v>
      </c>
      <c r="F35" s="212" t="s">
        <v>271</v>
      </c>
      <c r="G35" s="217"/>
      <c r="H35" s="211" t="s">
        <v>436</v>
      </c>
      <c r="I35" t="s">
        <v>438</v>
      </c>
      <c r="J35" t="str">
        <f t="shared" si="0"/>
        <v>Handschuh, Sabine</v>
      </c>
      <c r="K35" t="str">
        <f t="shared" si="1"/>
        <v>D120120</v>
      </c>
    </row>
    <row r="36" spans="1:11" ht="15" customHeight="1">
      <c r="A36" s="216" t="s">
        <v>292</v>
      </c>
      <c r="B36" s="211" t="s">
        <v>313</v>
      </c>
      <c r="C36" s="205" t="s">
        <v>265</v>
      </c>
      <c r="D36" s="205" t="s">
        <v>224</v>
      </c>
      <c r="E36" s="251">
        <f>VLOOKUP(D36,'MANNSCHAFTEN+SPIELER'!F:Y,20,FALSE)</f>
        <v>21513</v>
      </c>
      <c r="F36" s="212"/>
      <c r="G36" s="217"/>
      <c r="H36" s="211" t="s">
        <v>439</v>
      </c>
      <c r="I36" t="s">
        <v>440</v>
      </c>
      <c r="J36" t="str">
        <f t="shared" si="0"/>
        <v>Heimann, Christel</v>
      </c>
      <c r="K36" t="str">
        <f t="shared" si="1"/>
        <v>D120113</v>
      </c>
    </row>
    <row r="37" spans="1:11" ht="15" customHeight="1">
      <c r="A37" s="216" t="s">
        <v>292</v>
      </c>
      <c r="B37" s="211" t="s">
        <v>314</v>
      </c>
      <c r="C37" s="205" t="s">
        <v>267</v>
      </c>
      <c r="D37" s="205" t="s">
        <v>223</v>
      </c>
      <c r="E37" s="251">
        <f>VLOOKUP(D37,'MANNSCHAFTEN+SPIELER'!F:Y,20,FALSE)</f>
        <v>19332</v>
      </c>
      <c r="F37" s="212"/>
      <c r="G37" s="217"/>
      <c r="H37" s="211" t="s">
        <v>439</v>
      </c>
      <c r="I37" t="s">
        <v>394</v>
      </c>
      <c r="J37" t="str">
        <f t="shared" si="0"/>
        <v>Heimann, Jürgen</v>
      </c>
      <c r="K37" t="str">
        <f t="shared" si="1"/>
        <v>D120114</v>
      </c>
    </row>
    <row r="38" spans="1:11" ht="15" customHeight="1">
      <c r="A38" s="210" t="s">
        <v>301</v>
      </c>
      <c r="B38" s="211" t="s">
        <v>315</v>
      </c>
      <c r="C38" s="205" t="s">
        <v>267</v>
      </c>
      <c r="D38" s="214" t="s">
        <v>316</v>
      </c>
      <c r="E38" s="251" t="e">
        <f>VLOOKUP(D38,'MANNSCHAFTEN+SPIELER'!F:Y,20,FALSE)</f>
        <v>#N/A</v>
      </c>
      <c r="F38" s="215"/>
      <c r="G38" s="213"/>
      <c r="H38" s="211" t="s">
        <v>441</v>
      </c>
      <c r="I38" t="s">
        <v>414</v>
      </c>
      <c r="J38" t="str">
        <f t="shared" si="0"/>
        <v>Heinfling, Klaus</v>
      </c>
      <c r="K38" t="str">
        <f t="shared" si="1"/>
        <v>D059039</v>
      </c>
    </row>
    <row r="39" spans="1:11" ht="15" customHeight="1">
      <c r="A39" s="216" t="s">
        <v>292</v>
      </c>
      <c r="B39" s="211" t="s">
        <v>317</v>
      </c>
      <c r="C39" s="205" t="s">
        <v>267</v>
      </c>
      <c r="D39" s="205" t="s">
        <v>221</v>
      </c>
      <c r="E39" s="251">
        <f>VLOOKUP(D39,'MANNSCHAFTEN+SPIELER'!F:Y,20,FALSE)</f>
        <v>20658</v>
      </c>
      <c r="F39" s="212" t="s">
        <v>271</v>
      </c>
      <c r="G39" s="217"/>
      <c r="H39" s="211" t="s">
        <v>442</v>
      </c>
      <c r="I39" t="s">
        <v>443</v>
      </c>
      <c r="J39" t="str">
        <f t="shared" si="0"/>
        <v>Heiselbetz, Ernst</v>
      </c>
      <c r="K39" t="str">
        <f t="shared" si="1"/>
        <v>D120115</v>
      </c>
    </row>
    <row r="40" spans="1:11" ht="15" customHeight="1">
      <c r="A40" s="221" t="s">
        <v>318</v>
      </c>
      <c r="B40" s="211" t="s">
        <v>319</v>
      </c>
      <c r="C40" s="205" t="s">
        <v>267</v>
      </c>
      <c r="D40" s="214" t="s">
        <v>320</v>
      </c>
      <c r="E40" s="251" t="e">
        <f>VLOOKUP(D40,'MANNSCHAFTEN+SPIELER'!F:Y,20,FALSE)</f>
        <v>#N/A</v>
      </c>
      <c r="F40" s="215"/>
      <c r="G40" s="213"/>
      <c r="H40" s="211" t="s">
        <v>444</v>
      </c>
      <c r="I40" t="s">
        <v>445</v>
      </c>
      <c r="J40" t="str">
        <f t="shared" si="0"/>
        <v>Helgert, Thorsten</v>
      </c>
      <c r="K40" t="str">
        <f t="shared" si="1"/>
        <v>D059015</v>
      </c>
    </row>
    <row r="41" spans="1:11" ht="15" customHeight="1">
      <c r="A41" s="210" t="s">
        <v>301</v>
      </c>
      <c r="B41" s="211" t="s">
        <v>321</v>
      </c>
      <c r="C41" s="205" t="s">
        <v>267</v>
      </c>
      <c r="D41" s="214" t="s">
        <v>322</v>
      </c>
      <c r="E41" s="251" t="e">
        <f>VLOOKUP(D41,'MANNSCHAFTEN+SPIELER'!F:Y,20,FALSE)</f>
        <v>#N/A</v>
      </c>
      <c r="F41" s="215"/>
      <c r="G41" s="213"/>
      <c r="H41" s="211" t="s">
        <v>446</v>
      </c>
      <c r="I41" t="s">
        <v>447</v>
      </c>
      <c r="J41" t="str">
        <f t="shared" si="0"/>
        <v>Hofbauer, Helmut</v>
      </c>
      <c r="K41" t="str">
        <f t="shared" si="1"/>
        <v>D059040</v>
      </c>
    </row>
    <row r="42" spans="1:11" ht="15" customHeight="1">
      <c r="A42" s="210" t="s">
        <v>301</v>
      </c>
      <c r="B42" s="211" t="s">
        <v>323</v>
      </c>
      <c r="C42" s="205" t="s">
        <v>265</v>
      </c>
      <c r="D42" s="214" t="s">
        <v>324</v>
      </c>
      <c r="E42" s="251" t="e">
        <f>VLOOKUP(D42,'MANNSCHAFTEN+SPIELER'!F:Y,20,FALSE)</f>
        <v>#N/A</v>
      </c>
      <c r="F42" s="215"/>
      <c r="G42" s="213"/>
      <c r="H42" s="211" t="s">
        <v>446</v>
      </c>
      <c r="I42" t="s">
        <v>448</v>
      </c>
      <c r="J42" t="str">
        <f t="shared" si="0"/>
        <v>Hofbauer, Karin</v>
      </c>
      <c r="K42" t="str">
        <f t="shared" si="1"/>
        <v>D005941</v>
      </c>
    </row>
    <row r="43" spans="1:11" ht="15" customHeight="1">
      <c r="A43" s="210" t="s">
        <v>301</v>
      </c>
      <c r="B43" s="219" t="s">
        <v>325</v>
      </c>
      <c r="C43" s="205" t="s">
        <v>267</v>
      </c>
      <c r="D43" s="222">
        <v>903609</v>
      </c>
      <c r="E43" s="251" t="e">
        <f>VLOOKUP(D43,'MANNSCHAFTEN+SPIELER'!F:Y,20,FALSE)</f>
        <v>#N/A</v>
      </c>
      <c r="F43" s="215"/>
      <c r="G43" s="223" t="s">
        <v>306</v>
      </c>
      <c r="H43" s="219" t="s">
        <v>449</v>
      </c>
      <c r="I43" t="s">
        <v>450</v>
      </c>
      <c r="J43" t="str">
        <f t="shared" si="0"/>
        <v>Huck, Walter</v>
      </c>
      <c r="K43">
        <f t="shared" si="1"/>
        <v>903609</v>
      </c>
    </row>
    <row r="44" spans="1:11" ht="15" customHeight="1">
      <c r="A44" s="216" t="s">
        <v>275</v>
      </c>
      <c r="B44" s="211" t="s">
        <v>326</v>
      </c>
      <c r="C44" s="214" t="s">
        <v>274</v>
      </c>
      <c r="D44" s="214" t="s">
        <v>180</v>
      </c>
      <c r="E44" s="251" t="e">
        <f>VLOOKUP(D44,'MANNSCHAFTEN+SPIELER'!F:Y,20,FALSE)</f>
        <v>#N/A</v>
      </c>
      <c r="F44" s="215"/>
      <c r="G44" s="217"/>
      <c r="H44" s="211" t="s">
        <v>451</v>
      </c>
      <c r="I44" t="s">
        <v>428</v>
      </c>
      <c r="J44" t="str">
        <f t="shared" si="0"/>
        <v>Illig, Rainer</v>
      </c>
      <c r="K44" t="str">
        <f t="shared" si="1"/>
        <v>D059051</v>
      </c>
    </row>
    <row r="45" spans="1:11" ht="15" customHeight="1">
      <c r="A45" s="221" t="s">
        <v>318</v>
      </c>
      <c r="B45" s="211" t="s">
        <v>327</v>
      </c>
      <c r="C45" s="205" t="s">
        <v>267</v>
      </c>
      <c r="D45" s="214" t="s">
        <v>328</v>
      </c>
      <c r="E45" s="251" t="e">
        <f>VLOOKUP(D45,'MANNSCHAFTEN+SPIELER'!F:Y,20,FALSE)</f>
        <v>#N/A</v>
      </c>
      <c r="F45" s="215"/>
      <c r="G45" s="213"/>
      <c r="H45" s="211" t="s">
        <v>452</v>
      </c>
      <c r="I45" t="s">
        <v>453</v>
      </c>
      <c r="J45" t="str">
        <f t="shared" si="0"/>
        <v>Jakob, Jens</v>
      </c>
      <c r="K45" t="str">
        <f t="shared" si="1"/>
        <v>D059016</v>
      </c>
    </row>
    <row r="46" spans="1:11" ht="15" customHeight="1">
      <c r="A46" s="216" t="s">
        <v>292</v>
      </c>
      <c r="B46" s="211" t="s">
        <v>329</v>
      </c>
      <c r="C46" s="205" t="s">
        <v>267</v>
      </c>
      <c r="D46" s="205" t="s">
        <v>330</v>
      </c>
      <c r="E46" s="251" t="e">
        <f>VLOOKUP(D46,'MANNSCHAFTEN+SPIELER'!F:Y,20,FALSE)</f>
        <v>#N/A</v>
      </c>
      <c r="F46" s="212"/>
      <c r="G46" s="217"/>
      <c r="H46" s="211" t="s">
        <v>452</v>
      </c>
      <c r="I46" t="s">
        <v>454</v>
      </c>
      <c r="J46" t="str">
        <f t="shared" si="0"/>
        <v>Jakob, Ludwig</v>
      </c>
      <c r="K46" t="str">
        <f t="shared" si="1"/>
        <v>D059036</v>
      </c>
    </row>
    <row r="47" spans="1:11" ht="15" customHeight="1">
      <c r="A47" s="221" t="s">
        <v>318</v>
      </c>
      <c r="B47" s="211" t="s">
        <v>331</v>
      </c>
      <c r="C47" s="205" t="s">
        <v>267</v>
      </c>
      <c r="D47" s="214" t="s">
        <v>332</v>
      </c>
      <c r="E47" s="251">
        <f>VLOOKUP(D47,'MANNSCHAFTEN+SPIELER'!F:Y,20,FALSE)</f>
        <v>21205</v>
      </c>
      <c r="F47" s="215"/>
      <c r="G47" s="213"/>
      <c r="H47" s="211" t="s">
        <v>452</v>
      </c>
      <c r="I47" t="s">
        <v>455</v>
      </c>
      <c r="J47" t="str">
        <f t="shared" si="0"/>
        <v>Jakob, Mario</v>
      </c>
      <c r="K47" t="str">
        <f t="shared" si="1"/>
        <v>D059012</v>
      </c>
    </row>
    <row r="48" spans="1:11" ht="15" customHeight="1">
      <c r="A48" s="210" t="s">
        <v>301</v>
      </c>
      <c r="B48" s="211" t="s">
        <v>333</v>
      </c>
      <c r="C48" s="205" t="s">
        <v>265</v>
      </c>
      <c r="D48" s="218" t="s">
        <v>334</v>
      </c>
      <c r="E48" s="251" t="e">
        <f>VLOOKUP(D48,'MANNSCHAFTEN+SPIELER'!F:Y,20,FALSE)</f>
        <v>#N/A</v>
      </c>
      <c r="F48" s="215"/>
      <c r="G48" s="223"/>
      <c r="H48" s="211" t="s">
        <v>456</v>
      </c>
      <c r="I48" t="s">
        <v>457</v>
      </c>
      <c r="J48" t="str">
        <f t="shared" si="0"/>
        <v>Jung-Kirner, Barbara</v>
      </c>
      <c r="K48" t="str">
        <f t="shared" si="1"/>
        <v>D120139</v>
      </c>
    </row>
    <row r="49" spans="1:11" ht="15" customHeight="1">
      <c r="A49" s="216" t="s">
        <v>292</v>
      </c>
      <c r="B49" s="211" t="s">
        <v>335</v>
      </c>
      <c r="C49" s="205" t="s">
        <v>267</v>
      </c>
      <c r="D49" s="205" t="s">
        <v>216</v>
      </c>
      <c r="E49" s="251" t="e">
        <f>VLOOKUP(D49,'MANNSCHAFTEN+SPIELER'!F:Y,20,FALSE)</f>
        <v>#N/A</v>
      </c>
      <c r="F49" s="212"/>
      <c r="G49" s="217"/>
      <c r="H49" s="211" t="s">
        <v>458</v>
      </c>
      <c r="I49" t="s">
        <v>459</v>
      </c>
      <c r="J49" t="str">
        <f t="shared" si="0"/>
        <v>Kark, Karl-Heinz</v>
      </c>
      <c r="K49" t="str">
        <f t="shared" si="1"/>
        <v>D120116</v>
      </c>
    </row>
    <row r="50" spans="1:11" ht="15" customHeight="1">
      <c r="A50" s="216" t="s">
        <v>292</v>
      </c>
      <c r="B50" s="211" t="s">
        <v>336</v>
      </c>
      <c r="C50" s="205" t="s">
        <v>265</v>
      </c>
      <c r="D50" s="205" t="s">
        <v>243</v>
      </c>
      <c r="E50" s="251">
        <f>VLOOKUP(D50,'MANNSCHAFTEN+SPIELER'!F:Y,20,FALSE)</f>
        <v>24342</v>
      </c>
      <c r="F50" s="212" t="s">
        <v>271</v>
      </c>
      <c r="G50" s="217"/>
      <c r="H50" s="211" t="s">
        <v>460</v>
      </c>
      <c r="I50" t="s">
        <v>461</v>
      </c>
      <c r="J50" t="str">
        <f t="shared" si="0"/>
        <v>Kaufhold, Heidi</v>
      </c>
      <c r="K50" t="str">
        <f t="shared" si="1"/>
        <v>D120117</v>
      </c>
    </row>
    <row r="51" spans="1:11" ht="15" customHeight="1">
      <c r="A51" s="221" t="s">
        <v>282</v>
      </c>
      <c r="B51" s="211" t="s">
        <v>337</v>
      </c>
      <c r="C51" s="214" t="s">
        <v>274</v>
      </c>
      <c r="D51" s="218" t="s">
        <v>256</v>
      </c>
      <c r="E51" s="251">
        <f>VLOOKUP(D51,'MANNSCHAFTEN+SPIELER'!F:Y,20,FALSE)</f>
        <v>20746</v>
      </c>
      <c r="F51" s="215"/>
      <c r="G51" s="213"/>
      <c r="H51" s="211" t="s">
        <v>462</v>
      </c>
      <c r="I51" t="s">
        <v>151</v>
      </c>
      <c r="J51" t="str">
        <f t="shared" si="0"/>
        <v>Kellner, Andreas</v>
      </c>
      <c r="K51" t="str">
        <f t="shared" si="1"/>
        <v>D120140</v>
      </c>
    </row>
    <row r="52" spans="1:11" ht="15" customHeight="1">
      <c r="A52" s="210" t="s">
        <v>301</v>
      </c>
      <c r="B52" s="211" t="s">
        <v>338</v>
      </c>
      <c r="C52" s="205" t="s">
        <v>267</v>
      </c>
      <c r="D52" s="214" t="s">
        <v>339</v>
      </c>
      <c r="E52" s="251" t="e">
        <f>VLOOKUP(D52,'MANNSCHAFTEN+SPIELER'!F:Y,20,FALSE)</f>
        <v>#N/A</v>
      </c>
      <c r="F52" s="215"/>
      <c r="G52" s="213"/>
      <c r="H52" s="211" t="s">
        <v>463</v>
      </c>
      <c r="I52" t="s">
        <v>424</v>
      </c>
      <c r="J52" t="str">
        <f t="shared" si="0"/>
        <v>Kiessling, Werner</v>
      </c>
      <c r="K52" t="str">
        <f t="shared" si="1"/>
        <v>D059042</v>
      </c>
    </row>
    <row r="53" spans="1:11" ht="15" customHeight="1">
      <c r="A53" s="216" t="s">
        <v>292</v>
      </c>
      <c r="B53" s="211" t="s">
        <v>340</v>
      </c>
      <c r="C53" s="205" t="s">
        <v>267</v>
      </c>
      <c r="D53" s="205" t="s">
        <v>207</v>
      </c>
      <c r="E53" s="251">
        <f>VLOOKUP(D53,'MANNSCHAFTEN+SPIELER'!F:Y,20,FALSE)</f>
        <v>18066</v>
      </c>
      <c r="F53" s="215"/>
      <c r="G53" s="217"/>
      <c r="H53" s="211" t="s">
        <v>464</v>
      </c>
      <c r="I53" t="s">
        <v>399</v>
      </c>
      <c r="J53" t="str">
        <f t="shared" si="0"/>
        <v>König, Otto</v>
      </c>
      <c r="K53" t="str">
        <f t="shared" si="1"/>
        <v>D120118</v>
      </c>
    </row>
    <row r="54" spans="1:11" ht="15" customHeight="1">
      <c r="A54" s="216" t="s">
        <v>292</v>
      </c>
      <c r="B54" s="211" t="s">
        <v>341</v>
      </c>
      <c r="C54" s="205" t="s">
        <v>265</v>
      </c>
      <c r="D54" s="205" t="s">
        <v>211</v>
      </c>
      <c r="E54" s="251">
        <f>VLOOKUP(D54,'MANNSCHAFTEN+SPIELER'!F:Y,20,FALSE)</f>
        <v>23759</v>
      </c>
      <c r="F54" s="215"/>
      <c r="G54" s="217"/>
      <c r="H54" s="211" t="s">
        <v>465</v>
      </c>
      <c r="I54" t="s">
        <v>466</v>
      </c>
      <c r="J54" t="str">
        <f t="shared" si="0"/>
        <v>Körner, Sigrid</v>
      </c>
      <c r="K54" t="str">
        <f t="shared" si="1"/>
        <v>D120119</v>
      </c>
    </row>
    <row r="55" spans="1:11" ht="15" customHeight="1">
      <c r="A55" s="216" t="s">
        <v>292</v>
      </c>
      <c r="B55" s="211" t="s">
        <v>342</v>
      </c>
      <c r="C55" s="205" t="s">
        <v>267</v>
      </c>
      <c r="D55" s="205" t="s">
        <v>220</v>
      </c>
      <c r="E55" s="251" t="e">
        <f>VLOOKUP(D55,'MANNSCHAFTEN+SPIELER'!F:Y,20,FALSE)</f>
        <v>#N/A</v>
      </c>
      <c r="F55" s="212"/>
      <c r="G55" s="217"/>
      <c r="H55" s="211" t="s">
        <v>467</v>
      </c>
      <c r="I55" t="s">
        <v>468</v>
      </c>
      <c r="J55" t="str">
        <f t="shared" si="0"/>
        <v>Krauß, Gerd</v>
      </c>
      <c r="K55" t="str">
        <f t="shared" si="1"/>
        <v>D120121</v>
      </c>
    </row>
    <row r="56" spans="1:11" ht="15" customHeight="1">
      <c r="A56" s="210" t="s">
        <v>269</v>
      </c>
      <c r="B56" s="211" t="s">
        <v>343</v>
      </c>
      <c r="C56" s="205" t="s">
        <v>267</v>
      </c>
      <c r="D56" s="214" t="s">
        <v>247</v>
      </c>
      <c r="E56" s="251" t="e">
        <f>VLOOKUP(D56,'MANNSCHAFTEN+SPIELER'!F:Y,20,FALSE)</f>
        <v>#N/A</v>
      </c>
      <c r="F56" s="212"/>
      <c r="G56" s="213"/>
      <c r="H56" s="211" t="s">
        <v>469</v>
      </c>
      <c r="I56" t="s">
        <v>470</v>
      </c>
      <c r="J56" t="str">
        <f t="shared" si="0"/>
        <v>Kuhnle, Ulrich</v>
      </c>
      <c r="K56" t="str">
        <f t="shared" si="1"/>
        <v>D059049</v>
      </c>
    </row>
    <row r="57" spans="1:11" ht="15" customHeight="1">
      <c r="A57" s="216" t="s">
        <v>275</v>
      </c>
      <c r="B57" s="211" t="s">
        <v>344</v>
      </c>
      <c r="C57" s="205" t="s">
        <v>267</v>
      </c>
      <c r="D57" s="205" t="s">
        <v>258</v>
      </c>
      <c r="E57" s="251">
        <f>VLOOKUP(D57,'MANNSCHAFTEN+SPIELER'!F:Y,20,FALSE)</f>
        <v>25697</v>
      </c>
      <c r="F57" s="212" t="s">
        <v>271</v>
      </c>
      <c r="G57" s="217"/>
      <c r="H57" s="211" t="s">
        <v>471</v>
      </c>
      <c r="I57" t="s">
        <v>397</v>
      </c>
      <c r="J57" t="str">
        <f t="shared" si="0"/>
        <v>Kurczyk, Bernd</v>
      </c>
      <c r="K57" t="str">
        <f t="shared" si="1"/>
        <v>D092042</v>
      </c>
    </row>
    <row r="58" spans="1:11" ht="15" customHeight="1">
      <c r="A58" s="216" t="s">
        <v>292</v>
      </c>
      <c r="B58" s="211" t="s">
        <v>345</v>
      </c>
      <c r="C58" s="205" t="s">
        <v>267</v>
      </c>
      <c r="D58" s="205" t="s">
        <v>241</v>
      </c>
      <c r="E58" s="251">
        <f>VLOOKUP(D58,'MANNSCHAFTEN+SPIELER'!F:Y,20,FALSE)</f>
        <v>19236</v>
      </c>
      <c r="F58" s="212" t="s">
        <v>271</v>
      </c>
      <c r="G58" s="217"/>
      <c r="H58" s="211" t="s">
        <v>472</v>
      </c>
      <c r="I58" t="s">
        <v>473</v>
      </c>
      <c r="J58" t="str">
        <f t="shared" si="0"/>
        <v>Laub, Edgar</v>
      </c>
      <c r="K58" t="str">
        <f t="shared" si="1"/>
        <v>D120137</v>
      </c>
    </row>
    <row r="59" spans="1:11" ht="15" customHeight="1">
      <c r="A59" s="216" t="s">
        <v>292</v>
      </c>
      <c r="B59" s="211" t="s">
        <v>346</v>
      </c>
      <c r="C59" s="205" t="s">
        <v>265</v>
      </c>
      <c r="D59" s="205" t="s">
        <v>242</v>
      </c>
      <c r="E59" s="251">
        <f>VLOOKUP(D59,'MANNSCHAFTEN+SPIELER'!F:Y,20,FALSE)</f>
        <v>20505</v>
      </c>
      <c r="F59" s="212" t="s">
        <v>271</v>
      </c>
      <c r="G59" s="217"/>
      <c r="H59" s="211" t="s">
        <v>472</v>
      </c>
      <c r="I59" t="s">
        <v>474</v>
      </c>
      <c r="J59" t="str">
        <f t="shared" si="0"/>
        <v>Laub, Rita</v>
      </c>
      <c r="K59" t="str">
        <f t="shared" si="1"/>
        <v>D120138</v>
      </c>
    </row>
    <row r="60" spans="1:11" ht="15" customHeight="1">
      <c r="A60" s="216" t="s">
        <v>292</v>
      </c>
      <c r="B60" s="211" t="s">
        <v>347</v>
      </c>
      <c r="C60" s="205" t="s">
        <v>267</v>
      </c>
      <c r="D60" s="205" t="s">
        <v>219</v>
      </c>
      <c r="E60" s="251">
        <f>VLOOKUP(D60,'MANNSCHAFTEN+SPIELER'!F:Y,20,FALSE)</f>
        <v>22070</v>
      </c>
      <c r="F60" s="212" t="s">
        <v>271</v>
      </c>
      <c r="G60" s="217"/>
      <c r="H60" s="211" t="s">
        <v>475</v>
      </c>
      <c r="I60" t="s">
        <v>476</v>
      </c>
      <c r="J60" t="str">
        <f t="shared" si="0"/>
        <v>Martic, Branko</v>
      </c>
      <c r="K60" t="str">
        <f t="shared" si="1"/>
        <v>D120122</v>
      </c>
    </row>
    <row r="61" spans="1:11" ht="15" customHeight="1">
      <c r="A61" s="210" t="s">
        <v>269</v>
      </c>
      <c r="B61" s="211" t="s">
        <v>348</v>
      </c>
      <c r="C61" s="205" t="s">
        <v>267</v>
      </c>
      <c r="D61" s="214" t="s">
        <v>251</v>
      </c>
      <c r="E61" s="251" t="e">
        <f>VLOOKUP(D61,'MANNSCHAFTEN+SPIELER'!F:Y,20,FALSE)</f>
        <v>#N/A</v>
      </c>
      <c r="F61" s="212"/>
      <c r="G61" s="213"/>
      <c r="H61" s="211" t="s">
        <v>477</v>
      </c>
      <c r="I61" t="s">
        <v>478</v>
      </c>
      <c r="J61" t="str">
        <f t="shared" si="0"/>
        <v>Mayer, Karl</v>
      </c>
      <c r="K61" t="str">
        <f t="shared" si="1"/>
        <v>D059031</v>
      </c>
    </row>
    <row r="62" spans="1:11" ht="15" customHeight="1">
      <c r="A62" s="216" t="s">
        <v>292</v>
      </c>
      <c r="B62" s="211" t="s">
        <v>349</v>
      </c>
      <c r="C62" s="205" t="s">
        <v>265</v>
      </c>
      <c r="D62" s="214" t="s">
        <v>225</v>
      </c>
      <c r="E62" s="251" t="e">
        <f>VLOOKUP(D62,'MANNSCHAFTEN+SPIELER'!F:Y,20,FALSE)</f>
        <v>#N/A</v>
      </c>
      <c r="F62" s="212"/>
      <c r="G62" s="217"/>
      <c r="H62" s="211" t="s">
        <v>479</v>
      </c>
      <c r="I62" t="s">
        <v>461</v>
      </c>
      <c r="J62" t="str">
        <f t="shared" si="0"/>
        <v>Megner, Heidi</v>
      </c>
      <c r="K62" t="str">
        <f t="shared" si="1"/>
        <v>D120123</v>
      </c>
    </row>
    <row r="63" spans="1:11" ht="15" customHeight="1">
      <c r="A63" s="216" t="s">
        <v>292</v>
      </c>
      <c r="B63" s="211" t="s">
        <v>350</v>
      </c>
      <c r="C63" s="205" t="s">
        <v>267</v>
      </c>
      <c r="D63" s="214" t="s">
        <v>226</v>
      </c>
      <c r="E63" s="251" t="e">
        <f>VLOOKUP(D63,'MANNSCHAFTEN+SPIELER'!F:Y,20,FALSE)</f>
        <v>#N/A</v>
      </c>
      <c r="F63" s="212"/>
      <c r="G63" s="217"/>
      <c r="H63" s="211" t="s">
        <v>479</v>
      </c>
      <c r="I63" t="s">
        <v>480</v>
      </c>
      <c r="J63" t="str">
        <f t="shared" si="0"/>
        <v>Megner, Ralf</v>
      </c>
      <c r="K63" t="str">
        <f t="shared" si="1"/>
        <v>D120124</v>
      </c>
    </row>
    <row r="64" spans="1:11" ht="15" customHeight="1">
      <c r="A64" s="221" t="s">
        <v>318</v>
      </c>
      <c r="B64" s="211" t="s">
        <v>351</v>
      </c>
      <c r="C64" s="205" t="s">
        <v>267</v>
      </c>
      <c r="D64" s="214" t="s">
        <v>623</v>
      </c>
      <c r="E64" s="251">
        <f>VLOOKUP(D64,'MANNSCHAFTEN+SPIELER'!F:Y,20,FALSE)</f>
        <v>20422</v>
      </c>
      <c r="F64" s="215"/>
      <c r="G64" s="213"/>
      <c r="H64" s="211" t="s">
        <v>481</v>
      </c>
      <c r="I64" t="s">
        <v>482</v>
      </c>
      <c r="J64" t="str">
        <f t="shared" si="0"/>
        <v>Metz, Josef</v>
      </c>
      <c r="K64" t="str">
        <f t="shared" si="1"/>
        <v>D059018</v>
      </c>
    </row>
    <row r="65" spans="1:11" ht="15" customHeight="1">
      <c r="A65" s="216" t="s">
        <v>292</v>
      </c>
      <c r="B65" s="211" t="s">
        <v>352</v>
      </c>
      <c r="C65" s="205" t="s">
        <v>267</v>
      </c>
      <c r="D65" s="205" t="s">
        <v>245</v>
      </c>
      <c r="E65" s="251">
        <f>VLOOKUP(D65,'MANNSCHAFTEN+SPIELER'!F:Y,20,FALSE)</f>
        <v>23441</v>
      </c>
      <c r="F65" s="215"/>
      <c r="G65" s="217"/>
      <c r="H65" s="211" t="s">
        <v>483</v>
      </c>
      <c r="I65" t="s">
        <v>394</v>
      </c>
      <c r="J65" t="str">
        <f t="shared" si="0"/>
        <v>Metzner, Jürgen</v>
      </c>
      <c r="K65" t="str">
        <f t="shared" si="1"/>
        <v>D120125</v>
      </c>
    </row>
    <row r="66" spans="1:11" ht="15" customHeight="1">
      <c r="A66" s="216" t="s">
        <v>292</v>
      </c>
      <c r="B66" s="211" t="s">
        <v>353</v>
      </c>
      <c r="C66" s="214" t="s">
        <v>274</v>
      </c>
      <c r="D66" s="214" t="s">
        <v>171</v>
      </c>
      <c r="E66" s="251" t="e">
        <f>VLOOKUP(D66,'MANNSCHAFTEN+SPIELER'!F:Y,20,FALSE)</f>
        <v>#N/A</v>
      </c>
      <c r="F66" s="215"/>
      <c r="G66" s="217"/>
      <c r="H66" s="211" t="s">
        <v>484</v>
      </c>
      <c r="I66" t="s">
        <v>485</v>
      </c>
      <c r="J66" t="str">
        <f t="shared" si="0"/>
        <v>Mews, Marco</v>
      </c>
      <c r="K66" t="str">
        <f t="shared" si="1"/>
        <v>D059000</v>
      </c>
    </row>
    <row r="67" spans="1:11" ht="15" customHeight="1">
      <c r="A67" s="216" t="s">
        <v>292</v>
      </c>
      <c r="B67" s="211" t="s">
        <v>354</v>
      </c>
      <c r="C67" s="205" t="s">
        <v>267</v>
      </c>
      <c r="D67" s="205" t="s">
        <v>217</v>
      </c>
      <c r="E67" s="251" t="e">
        <f>VLOOKUP(D67,'MANNSCHAFTEN+SPIELER'!F:Y,20,FALSE)</f>
        <v>#N/A</v>
      </c>
      <c r="F67" s="212"/>
      <c r="G67" s="217"/>
      <c r="H67" s="211" t="s">
        <v>486</v>
      </c>
      <c r="I67" t="s">
        <v>395</v>
      </c>
      <c r="J67" t="str">
        <f t="shared" si="0"/>
        <v>Milwa, Peter</v>
      </c>
      <c r="K67" t="str">
        <f t="shared" si="1"/>
        <v>D120126</v>
      </c>
    </row>
    <row r="68" spans="1:11" ht="15" customHeight="1">
      <c r="A68" s="216" t="s">
        <v>292</v>
      </c>
      <c r="B68" s="211" t="s">
        <v>355</v>
      </c>
      <c r="C68" s="205" t="s">
        <v>267</v>
      </c>
      <c r="D68" s="205" t="s">
        <v>205</v>
      </c>
      <c r="E68" s="251" t="e">
        <f>VLOOKUP(D68,'MANNSCHAFTEN+SPIELER'!F:Y,20,FALSE)</f>
        <v>#N/A</v>
      </c>
      <c r="F68" s="215"/>
      <c r="G68" s="217"/>
      <c r="H68" s="211" t="s">
        <v>487</v>
      </c>
      <c r="I68" t="s">
        <v>488</v>
      </c>
      <c r="J68" t="str">
        <f t="shared" si="0"/>
        <v>Müller, Gerhard</v>
      </c>
      <c r="K68" t="str">
        <f t="shared" si="1"/>
        <v>D120127</v>
      </c>
    </row>
    <row r="69" spans="1:11" ht="15" customHeight="1">
      <c r="A69" s="216" t="s">
        <v>275</v>
      </c>
      <c r="B69" s="211" t="s">
        <v>356</v>
      </c>
      <c r="C69" s="205" t="s">
        <v>267</v>
      </c>
      <c r="D69" s="205" t="s">
        <v>260</v>
      </c>
      <c r="E69" s="251" t="e">
        <f>VLOOKUP(D69,'MANNSCHAFTEN+SPIELER'!F:Y,20,FALSE)</f>
        <v>#N/A</v>
      </c>
      <c r="F69" s="212" t="s">
        <v>271</v>
      </c>
      <c r="G69" s="217"/>
      <c r="H69" s="211" t="s">
        <v>487</v>
      </c>
      <c r="I69" t="s">
        <v>395</v>
      </c>
      <c r="J69" t="str">
        <f aca="true" t="shared" si="2" ref="J69:J103">H69&amp;", "&amp;I69</f>
        <v>Müller, Peter</v>
      </c>
      <c r="K69" t="str">
        <f aca="true" t="shared" si="3" ref="K69:K106">+D69</f>
        <v>D092041</v>
      </c>
    </row>
    <row r="70" spans="1:11" ht="15" customHeight="1">
      <c r="A70" s="216" t="s">
        <v>275</v>
      </c>
      <c r="B70" s="211" t="s">
        <v>665</v>
      </c>
      <c r="C70" s="205" t="s">
        <v>265</v>
      </c>
      <c r="D70" s="214" t="s">
        <v>182</v>
      </c>
      <c r="E70" s="251">
        <f>VLOOKUP(D70,'MANNSCHAFTEN+SPIELER'!F:Y,20,FALSE)</f>
        <v>29263</v>
      </c>
      <c r="F70" s="215"/>
      <c r="G70" s="217"/>
      <c r="H70" s="211" t="s">
        <v>589</v>
      </c>
      <c r="I70" t="s">
        <v>489</v>
      </c>
      <c r="J70" t="str">
        <f t="shared" si="2"/>
        <v>Fantoma, Jessica</v>
      </c>
      <c r="K70" t="str">
        <f t="shared" si="3"/>
        <v>D026794</v>
      </c>
    </row>
    <row r="71" spans="1:11" ht="15" customHeight="1">
      <c r="A71" s="216" t="s">
        <v>292</v>
      </c>
      <c r="B71" s="211" t="s">
        <v>357</v>
      </c>
      <c r="C71" s="214" t="s">
        <v>274</v>
      </c>
      <c r="D71" s="214" t="s">
        <v>176</v>
      </c>
      <c r="E71" s="251" t="e">
        <f>VLOOKUP(D71,'MANNSCHAFTEN+SPIELER'!F:Y,20,FALSE)</f>
        <v>#N/A</v>
      </c>
      <c r="F71" s="215"/>
      <c r="G71" s="217"/>
      <c r="H71" s="211" t="s">
        <v>490</v>
      </c>
      <c r="I71" t="s">
        <v>491</v>
      </c>
      <c r="J71" t="str">
        <f t="shared" si="2"/>
        <v>Poletar, Stefan</v>
      </c>
      <c r="K71" t="str">
        <f t="shared" si="3"/>
        <v>D025890</v>
      </c>
    </row>
    <row r="72" spans="1:11" ht="15" customHeight="1">
      <c r="A72" s="210" t="s">
        <v>285</v>
      </c>
      <c r="B72" s="211" t="s">
        <v>358</v>
      </c>
      <c r="C72" s="214" t="s">
        <v>274</v>
      </c>
      <c r="D72" s="214" t="s">
        <v>228</v>
      </c>
      <c r="E72" s="251">
        <f>VLOOKUP(D72,'MANNSCHAFTEN+SPIELER'!F:Y,20,FALSE)</f>
        <v>24361</v>
      </c>
      <c r="F72" s="212"/>
      <c r="G72" s="213"/>
      <c r="H72" s="211" t="s">
        <v>492</v>
      </c>
      <c r="I72" t="s">
        <v>493</v>
      </c>
      <c r="J72" t="str">
        <f t="shared" si="2"/>
        <v>Quehl, Frank</v>
      </c>
      <c r="K72" t="str">
        <f t="shared" si="3"/>
        <v>D059050</v>
      </c>
    </row>
    <row r="73" spans="1:11" ht="15" customHeight="1">
      <c r="A73" s="210" t="s">
        <v>269</v>
      </c>
      <c r="B73" s="211" t="s">
        <v>359</v>
      </c>
      <c r="C73" s="205" t="s">
        <v>265</v>
      </c>
      <c r="D73" s="214" t="s">
        <v>250</v>
      </c>
      <c r="E73" s="251">
        <f>VLOOKUP(D73,'MANNSCHAFTEN+SPIELER'!F:Y,20,FALSE)</f>
        <v>23468</v>
      </c>
      <c r="F73" s="212"/>
      <c r="G73" s="213"/>
      <c r="H73" s="211" t="s">
        <v>494</v>
      </c>
      <c r="I73" t="s">
        <v>495</v>
      </c>
      <c r="J73" t="str">
        <f t="shared" si="2"/>
        <v>Rolli, Marina</v>
      </c>
      <c r="K73" t="str">
        <f t="shared" si="3"/>
        <v>D059046</v>
      </c>
    </row>
    <row r="74" spans="1:11" ht="15" customHeight="1">
      <c r="A74" s="216" t="s">
        <v>292</v>
      </c>
      <c r="B74" s="211" t="s">
        <v>360</v>
      </c>
      <c r="C74" s="214" t="s">
        <v>274</v>
      </c>
      <c r="D74" s="214" t="s">
        <v>235</v>
      </c>
      <c r="E74" s="251">
        <f>VLOOKUP(D74,'MANNSCHAFTEN+SPIELER'!F:Y,20,FALSE)</f>
        <v>20993</v>
      </c>
      <c r="F74" s="215"/>
      <c r="G74" s="217"/>
      <c r="H74" s="211" t="s">
        <v>496</v>
      </c>
      <c r="I74" t="s">
        <v>497</v>
      </c>
      <c r="J74" t="str">
        <f t="shared" si="2"/>
        <v>Rupprecht, Herbert</v>
      </c>
      <c r="K74" t="str">
        <f t="shared" si="3"/>
        <v>D059034</v>
      </c>
    </row>
    <row r="75" spans="1:11" ht="15" customHeight="1">
      <c r="A75" s="216" t="s">
        <v>292</v>
      </c>
      <c r="B75" s="211" t="s">
        <v>361</v>
      </c>
      <c r="C75" s="214" t="s">
        <v>280</v>
      </c>
      <c r="D75" s="214" t="s">
        <v>236</v>
      </c>
      <c r="E75" s="251">
        <f>VLOOKUP(D75,'MANNSCHAFTEN+SPIELER'!F:Y,20,FALSE)</f>
        <v>20579</v>
      </c>
      <c r="F75" s="215"/>
      <c r="G75" s="217"/>
      <c r="H75" s="211" t="s">
        <v>496</v>
      </c>
      <c r="I75" t="s">
        <v>474</v>
      </c>
      <c r="J75" t="str">
        <f t="shared" si="2"/>
        <v>Rupprecht, Rita</v>
      </c>
      <c r="K75" t="str">
        <f t="shared" si="3"/>
        <v>D059035</v>
      </c>
    </row>
    <row r="76" spans="1:11" ht="15" customHeight="1">
      <c r="A76" s="216" t="s">
        <v>292</v>
      </c>
      <c r="B76" s="211" t="s">
        <v>362</v>
      </c>
      <c r="C76" s="205" t="s">
        <v>267</v>
      </c>
      <c r="D76" s="205" t="s">
        <v>227</v>
      </c>
      <c r="E76" s="251">
        <f>VLOOKUP(D76,'MANNSCHAFTEN+SPIELER'!F:Y,20,FALSE)</f>
        <v>13684</v>
      </c>
      <c r="F76" s="212"/>
      <c r="G76" s="217"/>
      <c r="H76" s="211" t="s">
        <v>498</v>
      </c>
      <c r="I76" t="s">
        <v>499</v>
      </c>
      <c r="J76" t="str">
        <f t="shared" si="2"/>
        <v>Rusek, Heinz</v>
      </c>
      <c r="K76" t="str">
        <f t="shared" si="3"/>
        <v>D120128</v>
      </c>
    </row>
    <row r="77" spans="1:11" ht="15" customHeight="1">
      <c r="A77" s="216" t="s">
        <v>292</v>
      </c>
      <c r="B77" s="211" t="s">
        <v>363</v>
      </c>
      <c r="C77" s="205" t="s">
        <v>265</v>
      </c>
      <c r="D77" s="205" t="s">
        <v>210</v>
      </c>
      <c r="E77" s="251" t="e">
        <f>VLOOKUP(D77,'MANNSCHAFTEN+SPIELER'!F:Y,20,FALSE)</f>
        <v>#N/A</v>
      </c>
      <c r="F77" s="212"/>
      <c r="G77" s="217"/>
      <c r="H77" s="211" t="s">
        <v>500</v>
      </c>
      <c r="I77" t="s">
        <v>501</v>
      </c>
      <c r="J77" t="str">
        <f t="shared" si="2"/>
        <v>Sapper, Gemma</v>
      </c>
      <c r="K77" t="str">
        <f t="shared" si="3"/>
        <v>D120129</v>
      </c>
    </row>
    <row r="78" spans="1:11" ht="15" customHeight="1">
      <c r="A78" s="216" t="s">
        <v>292</v>
      </c>
      <c r="B78" s="211" t="s">
        <v>364</v>
      </c>
      <c r="C78" s="205" t="s">
        <v>267</v>
      </c>
      <c r="D78" s="205" t="s">
        <v>204</v>
      </c>
      <c r="E78" s="251" t="e">
        <f>VLOOKUP(D78,'MANNSCHAFTEN+SPIELER'!F:Y,20,FALSE)</f>
        <v>#N/A</v>
      </c>
      <c r="F78" s="212"/>
      <c r="G78" s="217"/>
      <c r="H78" s="211" t="s">
        <v>500</v>
      </c>
      <c r="I78" t="s">
        <v>502</v>
      </c>
      <c r="J78" t="str">
        <f t="shared" si="2"/>
        <v>Sapper, Wilfried</v>
      </c>
      <c r="K78" t="str">
        <f t="shared" si="3"/>
        <v>D120130</v>
      </c>
    </row>
    <row r="79" spans="1:11" ht="15" customHeight="1">
      <c r="A79" s="216" t="s">
        <v>292</v>
      </c>
      <c r="B79" s="211" t="s">
        <v>365</v>
      </c>
      <c r="C79" s="205" t="s">
        <v>267</v>
      </c>
      <c r="D79" s="205" t="s">
        <v>244</v>
      </c>
      <c r="E79" s="251" t="e">
        <f>VLOOKUP(D79,'MANNSCHAFTEN+SPIELER'!F:Y,20,FALSE)</f>
        <v>#N/A</v>
      </c>
      <c r="F79" s="212"/>
      <c r="G79" s="217"/>
      <c r="H79" s="211" t="s">
        <v>503</v>
      </c>
      <c r="I79" t="s">
        <v>504</v>
      </c>
      <c r="J79" t="str">
        <f t="shared" si="2"/>
        <v>Sauer, Henry</v>
      </c>
      <c r="K79" t="str">
        <f t="shared" si="3"/>
        <v>D059037</v>
      </c>
    </row>
    <row r="80" spans="1:11" ht="15" customHeight="1">
      <c r="A80" s="210" t="s">
        <v>285</v>
      </c>
      <c r="B80" s="211" t="s">
        <v>366</v>
      </c>
      <c r="C80" s="214" t="s">
        <v>274</v>
      </c>
      <c r="D80" s="214" t="s">
        <v>231</v>
      </c>
      <c r="E80" s="251">
        <f>VLOOKUP(D80,'MANNSCHAFTEN+SPIELER'!F:Y,20,FALSE)</f>
        <v>27148</v>
      </c>
      <c r="F80" s="212"/>
      <c r="G80" s="213"/>
      <c r="H80" s="211" t="s">
        <v>505</v>
      </c>
      <c r="I80" t="s">
        <v>506</v>
      </c>
      <c r="J80" t="str">
        <f t="shared" si="2"/>
        <v>Schefczik, Michael</v>
      </c>
      <c r="K80" t="str">
        <f t="shared" si="3"/>
        <v>D059027</v>
      </c>
    </row>
    <row r="81" spans="1:11" ht="15" customHeight="1">
      <c r="A81" s="210" t="s">
        <v>285</v>
      </c>
      <c r="B81" s="211" t="s">
        <v>617</v>
      </c>
      <c r="C81" s="214" t="s">
        <v>274</v>
      </c>
      <c r="D81" s="214" t="s">
        <v>602</v>
      </c>
      <c r="E81" s="251">
        <f>VLOOKUP(D81,'MANNSCHAFTEN+SPIELER'!F:Y,20,FALSE)</f>
        <v>32874</v>
      </c>
      <c r="F81" s="212"/>
      <c r="G81" s="213"/>
      <c r="H81" s="211" t="s">
        <v>505</v>
      </c>
      <c r="I81" t="s">
        <v>618</v>
      </c>
      <c r="J81" t="str">
        <f>H81&amp;", "&amp;I81</f>
        <v>Schefczik, Tim</v>
      </c>
      <c r="K81" t="str">
        <f>+D81</f>
        <v>D147617</v>
      </c>
    </row>
    <row r="82" spans="1:11" ht="15" customHeight="1">
      <c r="A82" s="216" t="s">
        <v>292</v>
      </c>
      <c r="B82" s="219" t="s">
        <v>367</v>
      </c>
      <c r="C82" s="205" t="s">
        <v>265</v>
      </c>
      <c r="D82" s="205" t="s">
        <v>188</v>
      </c>
      <c r="E82" s="251" t="e">
        <f>VLOOKUP(D82,'MANNSCHAFTEN+SPIELER'!F:Y,20,FALSE)</f>
        <v>#N/A</v>
      </c>
      <c r="F82" s="215"/>
      <c r="G82" s="223" t="s">
        <v>306</v>
      </c>
      <c r="H82" s="219" t="s">
        <v>507</v>
      </c>
      <c r="I82" t="s">
        <v>508</v>
      </c>
      <c r="J82" t="str">
        <f t="shared" si="2"/>
        <v>Schibitzki, Inge</v>
      </c>
      <c r="K82" t="str">
        <f t="shared" si="3"/>
        <v>D059006</v>
      </c>
    </row>
    <row r="83" spans="1:11" ht="15" customHeight="1">
      <c r="A83" s="216" t="s">
        <v>275</v>
      </c>
      <c r="B83" s="211" t="s">
        <v>368</v>
      </c>
      <c r="C83" s="214" t="s">
        <v>274</v>
      </c>
      <c r="D83" s="214" t="s">
        <v>186</v>
      </c>
      <c r="E83" s="251">
        <f>VLOOKUP(D83,'MANNSCHAFTEN+SPIELER'!F:Y,20,FALSE)</f>
        <v>20027</v>
      </c>
      <c r="F83" s="215"/>
      <c r="G83" s="217"/>
      <c r="H83" s="211" t="s">
        <v>509</v>
      </c>
      <c r="I83" t="s">
        <v>499</v>
      </c>
      <c r="J83" t="str">
        <f t="shared" si="2"/>
        <v>Schmitt, Heinz</v>
      </c>
      <c r="K83" t="str">
        <f t="shared" si="3"/>
        <v>D059014</v>
      </c>
    </row>
    <row r="84" spans="1:11" ht="15" customHeight="1">
      <c r="A84" s="216" t="s">
        <v>275</v>
      </c>
      <c r="B84" s="211" t="s">
        <v>369</v>
      </c>
      <c r="C84" s="214" t="s">
        <v>274</v>
      </c>
      <c r="D84" s="214" t="s">
        <v>193</v>
      </c>
      <c r="E84" s="251">
        <f>VLOOKUP(D84,'MANNSCHAFTEN+SPIELER'!F:Y,20,FALSE)</f>
        <v>21005</v>
      </c>
      <c r="F84" s="215"/>
      <c r="G84" s="217"/>
      <c r="H84" s="211" t="s">
        <v>509</v>
      </c>
      <c r="I84" t="s">
        <v>510</v>
      </c>
      <c r="J84" t="str">
        <f t="shared" si="2"/>
        <v>Schmitt, Rolf</v>
      </c>
      <c r="K84" t="str">
        <f t="shared" si="3"/>
        <v>D092082</v>
      </c>
    </row>
    <row r="85" spans="1:11" ht="15" customHeight="1">
      <c r="A85" s="210" t="s">
        <v>285</v>
      </c>
      <c r="B85" s="211" t="s">
        <v>370</v>
      </c>
      <c r="C85" s="205" t="s">
        <v>267</v>
      </c>
      <c r="D85" s="214" t="s">
        <v>174</v>
      </c>
      <c r="E85" s="251">
        <f>VLOOKUP(D85,'MANNSCHAFTEN+SPIELER'!F:Y,20,FALSE)</f>
        <v>27350</v>
      </c>
      <c r="F85" s="215"/>
      <c r="G85" s="213"/>
      <c r="H85" s="211" t="s">
        <v>511</v>
      </c>
      <c r="I85" t="s">
        <v>453</v>
      </c>
      <c r="J85" t="str">
        <f t="shared" si="2"/>
        <v>Schneider, Jens</v>
      </c>
      <c r="K85" t="str">
        <f t="shared" si="3"/>
        <v>D059009</v>
      </c>
    </row>
    <row r="86" spans="1:11" ht="15" customHeight="1">
      <c r="A86" s="210" t="s">
        <v>301</v>
      </c>
      <c r="B86" s="211" t="s">
        <v>371</v>
      </c>
      <c r="C86" s="205" t="s">
        <v>267</v>
      </c>
      <c r="D86" s="214" t="s">
        <v>372</v>
      </c>
      <c r="E86" s="251" t="e">
        <f>VLOOKUP(D86,'MANNSCHAFTEN+SPIELER'!F:Y,20,FALSE)</f>
        <v>#N/A</v>
      </c>
      <c r="F86" s="215"/>
      <c r="G86" s="213"/>
      <c r="H86" s="211" t="s">
        <v>512</v>
      </c>
      <c r="I86" t="s">
        <v>513</v>
      </c>
      <c r="J86" t="str">
        <f t="shared" si="2"/>
        <v>Schöninger, Wolf-Dieter</v>
      </c>
      <c r="K86" t="str">
        <f t="shared" si="3"/>
        <v>D059026</v>
      </c>
    </row>
    <row r="87" spans="1:11" ht="15" customHeight="1">
      <c r="A87" s="216" t="s">
        <v>292</v>
      </c>
      <c r="B87" s="211" t="s">
        <v>373</v>
      </c>
      <c r="C87" s="205" t="s">
        <v>265</v>
      </c>
      <c r="D87" s="205" t="s">
        <v>206</v>
      </c>
      <c r="E87" s="251">
        <f>VLOOKUP(D87,'MANNSCHAFTEN+SPIELER'!F:Y,20,FALSE)</f>
        <v>22968</v>
      </c>
      <c r="F87" s="212"/>
      <c r="G87" s="217"/>
      <c r="H87" s="211" t="s">
        <v>514</v>
      </c>
      <c r="I87" t="s">
        <v>515</v>
      </c>
      <c r="J87" t="str">
        <f t="shared" si="2"/>
        <v>Schübeler, Elisabeth</v>
      </c>
      <c r="K87" t="str">
        <f t="shared" si="3"/>
        <v>D120131</v>
      </c>
    </row>
    <row r="88" spans="1:11" ht="15" customHeight="1">
      <c r="A88" s="216" t="s">
        <v>292</v>
      </c>
      <c r="B88" s="211" t="s">
        <v>374</v>
      </c>
      <c r="C88" s="205" t="s">
        <v>267</v>
      </c>
      <c r="D88" s="205" t="s">
        <v>208</v>
      </c>
      <c r="E88" s="251">
        <f>VLOOKUP(D88,'MANNSCHAFTEN+SPIELER'!F:Y,20,FALSE)</f>
        <v>24387</v>
      </c>
      <c r="F88" s="212"/>
      <c r="G88" s="217"/>
      <c r="H88" s="211" t="s">
        <v>514</v>
      </c>
      <c r="I88" t="s">
        <v>516</v>
      </c>
      <c r="J88" t="str">
        <f t="shared" si="2"/>
        <v>Schübeler, Uwe</v>
      </c>
      <c r="K88" t="str">
        <f t="shared" si="3"/>
        <v>D120132</v>
      </c>
    </row>
    <row r="89" spans="1:11" ht="15" customHeight="1">
      <c r="A89" s="216" t="s">
        <v>292</v>
      </c>
      <c r="B89" s="211" t="s">
        <v>375</v>
      </c>
      <c r="C89" s="205" t="s">
        <v>267</v>
      </c>
      <c r="D89" s="214" t="s">
        <v>189</v>
      </c>
      <c r="E89" s="251">
        <f>VLOOKUP(D89,'MANNSCHAFTEN+SPIELER'!F:Y,20,FALSE)</f>
        <v>16996</v>
      </c>
      <c r="F89" s="215"/>
      <c r="G89" s="217"/>
      <c r="H89" s="211" t="s">
        <v>517</v>
      </c>
      <c r="I89" t="s">
        <v>447</v>
      </c>
      <c r="J89" t="str">
        <f t="shared" si="2"/>
        <v>Schwarz, Helmut</v>
      </c>
      <c r="K89" t="str">
        <f t="shared" si="3"/>
        <v>D059001</v>
      </c>
    </row>
    <row r="90" spans="1:11" ht="15" customHeight="1">
      <c r="A90" s="210" t="s">
        <v>301</v>
      </c>
      <c r="B90" s="211" t="s">
        <v>376</v>
      </c>
      <c r="C90" s="205" t="s">
        <v>265</v>
      </c>
      <c r="D90" s="214" t="s">
        <v>377</v>
      </c>
      <c r="E90" s="251" t="e">
        <f>VLOOKUP(D90,'MANNSCHAFTEN+SPIELER'!F:Y,20,FALSE)</f>
        <v>#N/A</v>
      </c>
      <c r="F90" s="215"/>
      <c r="G90" s="213"/>
      <c r="H90" s="211" t="s">
        <v>518</v>
      </c>
      <c r="I90" t="s">
        <v>519</v>
      </c>
      <c r="J90" t="str">
        <f t="shared" si="2"/>
        <v>Sommer, Anita</v>
      </c>
      <c r="K90" t="str">
        <f t="shared" si="3"/>
        <v>D059043</v>
      </c>
    </row>
    <row r="91" spans="1:11" ht="15" customHeight="1">
      <c r="A91" s="210" t="s">
        <v>301</v>
      </c>
      <c r="B91" s="211" t="s">
        <v>378</v>
      </c>
      <c r="C91" s="205" t="s">
        <v>267</v>
      </c>
      <c r="D91" s="214" t="s">
        <v>379</v>
      </c>
      <c r="E91" s="251" t="e">
        <f>VLOOKUP(D91,'MANNSCHAFTEN+SPIELER'!F:Y,20,FALSE)</f>
        <v>#N/A</v>
      </c>
      <c r="F91" s="215"/>
      <c r="G91" s="213"/>
      <c r="H91" s="211" t="s">
        <v>518</v>
      </c>
      <c r="I91" t="s">
        <v>520</v>
      </c>
      <c r="J91" t="str">
        <f t="shared" si="2"/>
        <v>Sommer, Meinhard</v>
      </c>
      <c r="K91" t="str">
        <f t="shared" si="3"/>
        <v>D059044</v>
      </c>
    </row>
    <row r="92" spans="1:11" ht="15" customHeight="1">
      <c r="A92" s="216" t="s">
        <v>292</v>
      </c>
      <c r="B92" s="211" t="s">
        <v>380</v>
      </c>
      <c r="C92" s="205" t="s">
        <v>265</v>
      </c>
      <c r="D92" s="214" t="s">
        <v>212</v>
      </c>
      <c r="E92" s="251" t="e">
        <f>VLOOKUP(D92,'MANNSCHAFTEN+SPIELER'!F:Y,20,FALSE)</f>
        <v>#N/A</v>
      </c>
      <c r="F92" s="212"/>
      <c r="G92" s="217"/>
      <c r="H92" s="211" t="s">
        <v>521</v>
      </c>
      <c r="I92" t="s">
        <v>433</v>
      </c>
      <c r="J92" t="str">
        <f t="shared" si="2"/>
        <v>Steinbrecher, Doris</v>
      </c>
      <c r="K92" t="str">
        <f t="shared" si="3"/>
        <v>D120133</v>
      </c>
    </row>
    <row r="93" spans="1:11" ht="15" customHeight="1">
      <c r="A93" s="221" t="s">
        <v>282</v>
      </c>
      <c r="B93" s="211" t="s">
        <v>381</v>
      </c>
      <c r="C93" s="205" t="s">
        <v>265</v>
      </c>
      <c r="D93" s="214" t="s">
        <v>178</v>
      </c>
      <c r="E93" s="251">
        <f>VLOOKUP(D93,'MANNSCHAFTEN+SPIELER'!F:Y,20,FALSE)</f>
        <v>19773</v>
      </c>
      <c r="F93" s="215"/>
      <c r="G93" s="213"/>
      <c r="H93" s="211" t="s">
        <v>522</v>
      </c>
      <c r="I93" t="s">
        <v>523</v>
      </c>
      <c r="J93" t="str">
        <f t="shared" si="2"/>
        <v>Stelter, Lisa</v>
      </c>
      <c r="K93" t="str">
        <f t="shared" si="3"/>
        <v>D059005</v>
      </c>
    </row>
    <row r="94" spans="1:11" ht="15" customHeight="1">
      <c r="A94" s="216" t="s">
        <v>292</v>
      </c>
      <c r="B94" s="211" t="s">
        <v>382</v>
      </c>
      <c r="C94" s="205" t="s">
        <v>267</v>
      </c>
      <c r="D94" s="205" t="s">
        <v>202</v>
      </c>
      <c r="E94" s="251">
        <f>VLOOKUP(D94,'MANNSCHAFTEN+SPIELER'!F:Y,20,FALSE)</f>
        <v>14091</v>
      </c>
      <c r="F94" s="212" t="s">
        <v>271</v>
      </c>
      <c r="G94" s="217"/>
      <c r="H94" s="211" t="s">
        <v>524</v>
      </c>
      <c r="I94" t="s">
        <v>525</v>
      </c>
      <c r="J94" t="str">
        <f t="shared" si="2"/>
        <v>Streib, Edwin</v>
      </c>
      <c r="K94" t="str">
        <f t="shared" si="3"/>
        <v>D120134</v>
      </c>
    </row>
    <row r="95" spans="1:11" ht="15" customHeight="1">
      <c r="A95" s="216" t="s">
        <v>292</v>
      </c>
      <c r="B95" s="211" t="s">
        <v>383</v>
      </c>
      <c r="C95" s="214" t="s">
        <v>274</v>
      </c>
      <c r="D95" s="214" t="s">
        <v>196</v>
      </c>
      <c r="E95" s="251">
        <f>VLOOKUP(D95,'MANNSCHAFTEN+SPIELER'!F:Y,20,FALSE)</f>
        <v>31861</v>
      </c>
      <c r="F95" s="215"/>
      <c r="G95" s="217"/>
      <c r="H95" s="211" t="s">
        <v>470</v>
      </c>
      <c r="I95" t="s">
        <v>526</v>
      </c>
      <c r="J95" t="str">
        <f t="shared" si="2"/>
        <v>Ulrich, Christian</v>
      </c>
      <c r="K95" t="str">
        <f t="shared" si="3"/>
        <v>D059024</v>
      </c>
    </row>
    <row r="96" spans="1:11" ht="15" customHeight="1">
      <c r="A96" s="216" t="s">
        <v>292</v>
      </c>
      <c r="B96" s="211" t="s">
        <v>384</v>
      </c>
      <c r="C96" s="214" t="s">
        <v>274</v>
      </c>
      <c r="D96" s="214" t="s">
        <v>197</v>
      </c>
      <c r="E96" s="251">
        <f>VLOOKUP(D96,'MANNSCHAFTEN+SPIELER'!F:Y,20,FALSE)</f>
        <v>30701</v>
      </c>
      <c r="F96" s="215"/>
      <c r="G96" s="217"/>
      <c r="H96" s="211" t="s">
        <v>470</v>
      </c>
      <c r="I96" t="s">
        <v>527</v>
      </c>
      <c r="J96" t="str">
        <f t="shared" si="2"/>
        <v>Ulrich, Matthias</v>
      </c>
      <c r="K96" t="str">
        <f t="shared" si="3"/>
        <v>D059025</v>
      </c>
    </row>
    <row r="97" spans="1:11" ht="15" customHeight="1">
      <c r="A97" s="216" t="s">
        <v>292</v>
      </c>
      <c r="B97" s="211" t="s">
        <v>385</v>
      </c>
      <c r="C97" s="205" t="s">
        <v>265</v>
      </c>
      <c r="D97" s="205" t="s">
        <v>229</v>
      </c>
      <c r="E97" s="251">
        <f>VLOOKUP(D97,'MANNSCHAFTEN+SPIELER'!F:Y,20,FALSE)</f>
        <v>19301</v>
      </c>
      <c r="F97" s="212" t="s">
        <v>271</v>
      </c>
      <c r="G97" s="217"/>
      <c r="H97" s="211" t="s">
        <v>528</v>
      </c>
      <c r="I97" t="s">
        <v>529</v>
      </c>
      <c r="J97" t="str">
        <f t="shared" si="2"/>
        <v>Weber, Gabi</v>
      </c>
      <c r="K97" t="str">
        <f t="shared" si="3"/>
        <v>D120135</v>
      </c>
    </row>
    <row r="98" spans="1:11" ht="15" customHeight="1">
      <c r="A98" s="216" t="s">
        <v>292</v>
      </c>
      <c r="B98" s="211" t="s">
        <v>386</v>
      </c>
      <c r="C98" s="205" t="s">
        <v>267</v>
      </c>
      <c r="D98" s="205" t="s">
        <v>230</v>
      </c>
      <c r="E98" s="251">
        <f>VLOOKUP(D98,'MANNSCHAFTEN+SPIELER'!F:Y,20,FALSE)</f>
        <v>18438</v>
      </c>
      <c r="F98" s="212" t="s">
        <v>271</v>
      </c>
      <c r="G98" s="217"/>
      <c r="H98" s="211" t="s">
        <v>528</v>
      </c>
      <c r="I98" t="s">
        <v>530</v>
      </c>
      <c r="J98" t="str">
        <f t="shared" si="2"/>
        <v>Weber, Willi</v>
      </c>
      <c r="K98" t="str">
        <f t="shared" si="3"/>
        <v>D120136</v>
      </c>
    </row>
    <row r="99" spans="1:11" ht="15" customHeight="1">
      <c r="A99" s="210" t="s">
        <v>269</v>
      </c>
      <c r="B99" s="211" t="s">
        <v>387</v>
      </c>
      <c r="C99" s="205" t="s">
        <v>267</v>
      </c>
      <c r="D99" s="214" t="s">
        <v>201</v>
      </c>
      <c r="E99" s="251" t="e">
        <f>VLOOKUP(D99,'MANNSCHAFTEN+SPIELER'!F:Y,20,FALSE)</f>
        <v>#N/A</v>
      </c>
      <c r="F99" s="215"/>
      <c r="G99" s="213"/>
      <c r="H99" s="211" t="s">
        <v>531</v>
      </c>
      <c r="I99" t="s">
        <v>406</v>
      </c>
      <c r="J99" t="str">
        <f t="shared" si="2"/>
        <v>Weckner, Thomas</v>
      </c>
      <c r="K99" t="str">
        <f t="shared" si="3"/>
        <v>D099412</v>
      </c>
    </row>
    <row r="100" spans="1:11" ht="15" customHeight="1">
      <c r="A100" s="216" t="s">
        <v>292</v>
      </c>
      <c r="B100" s="211" t="s">
        <v>388</v>
      </c>
      <c r="C100" s="205" t="s">
        <v>265</v>
      </c>
      <c r="D100" s="214" t="s">
        <v>209</v>
      </c>
      <c r="E100" s="251">
        <f>VLOOKUP(D100,'MANNSCHAFTEN+SPIELER'!F:Y,20,FALSE)</f>
        <v>17672</v>
      </c>
      <c r="F100" s="212"/>
      <c r="G100" s="217"/>
      <c r="H100" s="211" t="s">
        <v>532</v>
      </c>
      <c r="I100" t="s">
        <v>533</v>
      </c>
      <c r="J100" t="str">
        <f t="shared" si="2"/>
        <v>Wenzel, Maria</v>
      </c>
      <c r="K100" t="str">
        <f t="shared" si="3"/>
        <v>D092043</v>
      </c>
    </row>
    <row r="101" spans="1:11" ht="15" customHeight="1">
      <c r="A101" s="210" t="s">
        <v>269</v>
      </c>
      <c r="B101" s="211" t="s">
        <v>389</v>
      </c>
      <c r="C101" s="205" t="s">
        <v>267</v>
      </c>
      <c r="D101" s="214" t="s">
        <v>249</v>
      </c>
      <c r="E101" s="251">
        <f>VLOOKUP(D101,'MANNSCHAFTEN+SPIELER'!F:Y,20,FALSE)</f>
        <v>19782</v>
      </c>
      <c r="F101" s="212"/>
      <c r="G101" s="213"/>
      <c r="H101" s="211" t="s">
        <v>534</v>
      </c>
      <c r="I101" t="s">
        <v>535</v>
      </c>
      <c r="J101" t="str">
        <f t="shared" si="2"/>
        <v>Wittemaier, Erwin</v>
      </c>
      <c r="K101" t="str">
        <f t="shared" si="3"/>
        <v>D059047</v>
      </c>
    </row>
    <row r="102" spans="1:11" ht="15" customHeight="1">
      <c r="A102" s="216" t="s">
        <v>275</v>
      </c>
      <c r="B102" s="211" t="s">
        <v>390</v>
      </c>
      <c r="C102" s="205" t="s">
        <v>267</v>
      </c>
      <c r="D102" s="214" t="s">
        <v>179</v>
      </c>
      <c r="E102" s="251" t="e">
        <f>VLOOKUP(D102,'MANNSCHAFTEN+SPIELER'!F:Y,20,FALSE)</f>
        <v>#N/A</v>
      </c>
      <c r="F102" s="212"/>
      <c r="G102" s="217"/>
      <c r="H102" s="211" t="s">
        <v>536</v>
      </c>
      <c r="I102" t="s">
        <v>537</v>
      </c>
      <c r="J102" t="str">
        <f>H102&amp;", "&amp;I102</f>
        <v>Würz, Raimund</v>
      </c>
      <c r="K102" t="str">
        <f>+D102</f>
        <v>D086000</v>
      </c>
    </row>
    <row r="103" spans="1:11" ht="15" customHeight="1">
      <c r="A103" s="216" t="s">
        <v>275</v>
      </c>
      <c r="B103" s="211" t="s">
        <v>614</v>
      </c>
      <c r="C103" s="205" t="s">
        <v>267</v>
      </c>
      <c r="D103" s="214" t="s">
        <v>603</v>
      </c>
      <c r="E103" s="251">
        <f>VLOOKUP(D103,'MANNSCHAFTEN+SPIELER'!F:Y,20,FALSE)</f>
        <v>34467</v>
      </c>
      <c r="F103" s="212"/>
      <c r="G103" s="217"/>
      <c r="H103" s="211" t="s">
        <v>615</v>
      </c>
      <c r="I103" t="s">
        <v>616</v>
      </c>
      <c r="J103" t="str">
        <f t="shared" si="2"/>
        <v>Heins, Franziska</v>
      </c>
      <c r="K103" t="str">
        <f t="shared" si="3"/>
        <v>D120174</v>
      </c>
    </row>
    <row r="104" spans="1:11" ht="15.75">
      <c r="A104" s="236" t="s">
        <v>85</v>
      </c>
      <c r="B104" s="237" t="s">
        <v>567</v>
      </c>
      <c r="C104" s="238" t="s">
        <v>274</v>
      </c>
      <c r="D104" s="239" t="s">
        <v>556</v>
      </c>
      <c r="E104" s="251" t="e">
        <f>VLOOKUP(D104,'MANNSCHAFTEN+SPIELER'!F:Y,20,FALSE)</f>
        <v>#N/A</v>
      </c>
      <c r="H104" s="240" t="s">
        <v>568</v>
      </c>
      <c r="I104" t="s">
        <v>569</v>
      </c>
      <c r="J104" t="str">
        <f aca="true" t="shared" si="4" ref="J104:J117">H104&amp;", "&amp;I104</f>
        <v>Erbe, Patrick</v>
      </c>
      <c r="K104" t="str">
        <f t="shared" si="3"/>
        <v>D120168</v>
      </c>
    </row>
    <row r="105" spans="1:11" ht="15.75">
      <c r="A105" s="236" t="s">
        <v>572</v>
      </c>
      <c r="B105" s="237" t="s">
        <v>576</v>
      </c>
      <c r="C105" s="238" t="s">
        <v>274</v>
      </c>
      <c r="D105" s="243" t="s">
        <v>550</v>
      </c>
      <c r="E105" s="251">
        <f>VLOOKUP(D105,'MANNSCHAFTEN+SPIELER'!F:Y,20,FALSE)</f>
        <v>18020</v>
      </c>
      <c r="H105" t="s">
        <v>570</v>
      </c>
      <c r="I105" t="s">
        <v>571</v>
      </c>
      <c r="J105" t="str">
        <f t="shared" si="4"/>
        <v>Rusakiwicz, Janek</v>
      </c>
      <c r="K105" t="str">
        <f t="shared" si="3"/>
        <v>D120154</v>
      </c>
    </row>
    <row r="106" spans="1:11" ht="15.75">
      <c r="A106" s="241" t="s">
        <v>572</v>
      </c>
      <c r="B106" s="237" t="s">
        <v>573</v>
      </c>
      <c r="C106" s="238" t="s">
        <v>274</v>
      </c>
      <c r="D106" s="242" t="s">
        <v>543</v>
      </c>
      <c r="E106" s="251">
        <f>VLOOKUP(D106,'MANNSCHAFTEN+SPIELER'!F:Y,20,FALSE)</f>
        <v>34053</v>
      </c>
      <c r="H106" t="s">
        <v>574</v>
      </c>
      <c r="I106" t="s">
        <v>575</v>
      </c>
      <c r="J106" t="str">
        <f t="shared" si="4"/>
        <v>Helmrich, Benjamin</v>
      </c>
      <c r="K106" t="str">
        <f t="shared" si="3"/>
        <v>D120145</v>
      </c>
    </row>
    <row r="107" spans="1:11" ht="15.75">
      <c r="A107" s="241" t="s">
        <v>572</v>
      </c>
      <c r="B107" s="237" t="s">
        <v>578</v>
      </c>
      <c r="C107" s="238" t="s">
        <v>280</v>
      </c>
      <c r="D107" s="242" t="s">
        <v>549</v>
      </c>
      <c r="E107" s="251">
        <f>VLOOKUP(D107,'MANNSCHAFTEN+SPIELER'!F:Y,20,FALSE)</f>
        <v>19299</v>
      </c>
      <c r="H107" s="244" t="s">
        <v>579</v>
      </c>
      <c r="I107" t="s">
        <v>580</v>
      </c>
      <c r="J107" t="str">
        <f t="shared" si="4"/>
        <v>Friedl, Traudl</v>
      </c>
      <c r="K107" t="str">
        <f aca="true" t="shared" si="5" ref="K107:K117">+D107</f>
        <v>D120152</v>
      </c>
    </row>
    <row r="108" spans="1:11" ht="15.75">
      <c r="A108" s="236" t="s">
        <v>72</v>
      </c>
      <c r="B108" s="237" t="s">
        <v>581</v>
      </c>
      <c r="C108" s="238" t="s">
        <v>280</v>
      </c>
      <c r="D108" s="243" t="s">
        <v>552</v>
      </c>
      <c r="E108" s="251" t="e">
        <f>VLOOKUP(D108,'MANNSCHAFTEN+SPIELER'!F:Y,20,FALSE)</f>
        <v>#N/A</v>
      </c>
      <c r="H108" s="244" t="s">
        <v>583</v>
      </c>
      <c r="I108" t="s">
        <v>582</v>
      </c>
      <c r="J108" t="str">
        <f t="shared" si="4"/>
        <v>Fabrig, Julie</v>
      </c>
      <c r="K108" t="str">
        <f t="shared" si="5"/>
        <v>D120156</v>
      </c>
    </row>
    <row r="109" spans="1:11" ht="15.75">
      <c r="A109" s="216" t="s">
        <v>292</v>
      </c>
      <c r="B109" s="211" t="s">
        <v>584</v>
      </c>
      <c r="C109" s="214" t="s">
        <v>274</v>
      </c>
      <c r="D109" s="243" t="s">
        <v>554</v>
      </c>
      <c r="E109" s="251">
        <f>VLOOKUP(D109,'MANNSCHAFTEN+SPIELER'!F:Y,20,FALSE)</f>
        <v>19446</v>
      </c>
      <c r="H109" s="244" t="s">
        <v>470</v>
      </c>
      <c r="I109" t="s">
        <v>585</v>
      </c>
      <c r="J109" t="str">
        <f t="shared" si="4"/>
        <v>Ulrich, Kurt</v>
      </c>
      <c r="K109" t="str">
        <f t="shared" si="5"/>
        <v>D120164</v>
      </c>
    </row>
    <row r="110" spans="1:11" ht="15.75">
      <c r="A110" s="236" t="s">
        <v>72</v>
      </c>
      <c r="B110" s="245" t="s">
        <v>295</v>
      </c>
      <c r="C110" s="238" t="s">
        <v>280</v>
      </c>
      <c r="D110" s="243" t="s">
        <v>238</v>
      </c>
      <c r="E110" s="251">
        <f>VLOOKUP(D110,'MANNSCHAFTEN+SPIELER'!F:Y,20,FALSE)</f>
        <v>18985</v>
      </c>
      <c r="H110" s="244" t="s">
        <v>411</v>
      </c>
      <c r="I110" t="s">
        <v>400</v>
      </c>
      <c r="J110" t="str">
        <f t="shared" si="4"/>
        <v>Dittrich, Waltraud</v>
      </c>
      <c r="K110" t="str">
        <f t="shared" si="5"/>
        <v>D120109</v>
      </c>
    </row>
    <row r="111" spans="1:11" ht="15.75">
      <c r="A111" s="236" t="s">
        <v>72</v>
      </c>
      <c r="B111" s="245" t="s">
        <v>587</v>
      </c>
      <c r="C111" s="238" t="s">
        <v>280</v>
      </c>
      <c r="D111" s="243" t="s">
        <v>557</v>
      </c>
      <c r="E111" s="251">
        <f>VLOOKUP(D111,'MANNSCHAFTEN+SPIELER'!F:Y,20,FALSE)</f>
        <v>30115</v>
      </c>
      <c r="H111" s="244" t="s">
        <v>496</v>
      </c>
      <c r="I111" t="s">
        <v>586</v>
      </c>
      <c r="J111" t="str">
        <f t="shared" si="4"/>
        <v>Rupprecht, Markus</v>
      </c>
      <c r="K111" t="str">
        <f t="shared" si="5"/>
        <v>D120171</v>
      </c>
    </row>
    <row r="112" spans="1:11" ht="15.75">
      <c r="A112" s="216" t="s">
        <v>275</v>
      </c>
      <c r="B112" s="211" t="s">
        <v>564</v>
      </c>
      <c r="C112" s="214" t="s">
        <v>274</v>
      </c>
      <c r="D112" s="243" t="s">
        <v>563</v>
      </c>
      <c r="E112" s="251">
        <f>VLOOKUP(D112,'MANNSCHAFTEN+SPIELER'!F:Y,20,FALSE)</f>
        <v>30484</v>
      </c>
      <c r="H112" s="244" t="s">
        <v>589</v>
      </c>
      <c r="I112" t="s">
        <v>409</v>
      </c>
      <c r="J112" t="str">
        <f t="shared" si="4"/>
        <v>Fantoma, Daniel</v>
      </c>
      <c r="K112" t="str">
        <f t="shared" si="5"/>
        <v>D120172</v>
      </c>
    </row>
    <row r="113" spans="1:11" ht="15.75">
      <c r="A113" s="216" t="s">
        <v>292</v>
      </c>
      <c r="B113" s="108" t="s">
        <v>591</v>
      </c>
      <c r="C113" s="214" t="s">
        <v>274</v>
      </c>
      <c r="D113" s="243" t="s">
        <v>542</v>
      </c>
      <c r="E113" s="251">
        <f>VLOOKUP(D113,'MANNSCHAFTEN+SPIELER'!F:Y,20,FALSE)</f>
        <v>21876</v>
      </c>
      <c r="H113" s="244" t="s">
        <v>594</v>
      </c>
      <c r="I113" t="s">
        <v>516</v>
      </c>
      <c r="J113" t="str">
        <f t="shared" si="4"/>
        <v>Meister, Uwe</v>
      </c>
      <c r="K113" t="str">
        <f t="shared" si="5"/>
        <v>D120146</v>
      </c>
    </row>
    <row r="114" spans="1:11" ht="15.75">
      <c r="A114" s="216" t="s">
        <v>292</v>
      </c>
      <c r="B114" s="211" t="s">
        <v>566</v>
      </c>
      <c r="C114" s="214" t="s">
        <v>274</v>
      </c>
      <c r="D114" s="243" t="s">
        <v>565</v>
      </c>
      <c r="E114" s="251" t="e">
        <f>VLOOKUP(D114,'MANNSCHAFTEN+SPIELER'!F:Y,20,FALSE)</f>
        <v>#N/A</v>
      </c>
      <c r="H114" s="244" t="s">
        <v>490</v>
      </c>
      <c r="I114" t="s">
        <v>595</v>
      </c>
      <c r="J114" t="str">
        <f t="shared" si="4"/>
        <v>Poletar, Björn</v>
      </c>
      <c r="K114" t="str">
        <f t="shared" si="5"/>
        <v>D120150</v>
      </c>
    </row>
    <row r="115" spans="1:11" ht="15.75">
      <c r="A115" s="216" t="s">
        <v>292</v>
      </c>
      <c r="B115" s="108" t="s">
        <v>592</v>
      </c>
      <c r="C115" s="214" t="s">
        <v>274</v>
      </c>
      <c r="D115" s="243" t="s">
        <v>548</v>
      </c>
      <c r="E115" s="251">
        <f>VLOOKUP(D115,'MANNSCHAFTEN+SPIELER'!F:Y,20,FALSE)</f>
        <v>31323</v>
      </c>
      <c r="H115" s="244" t="s">
        <v>596</v>
      </c>
      <c r="I115" t="s">
        <v>597</v>
      </c>
      <c r="J115" t="str">
        <f t="shared" si="4"/>
        <v>Haag, Helge</v>
      </c>
      <c r="K115" t="str">
        <f t="shared" si="5"/>
        <v>D120151</v>
      </c>
    </row>
    <row r="116" spans="1:11" ht="15.75">
      <c r="A116" s="216" t="s">
        <v>292</v>
      </c>
      <c r="B116" s="108" t="s">
        <v>593</v>
      </c>
      <c r="C116" s="214" t="s">
        <v>274</v>
      </c>
      <c r="D116" s="243" t="s">
        <v>549</v>
      </c>
      <c r="E116" s="251">
        <f>VLOOKUP(D116,'MANNSCHAFTEN+SPIELER'!F:Y,20,FALSE)</f>
        <v>19299</v>
      </c>
      <c r="H116" s="244" t="s">
        <v>598</v>
      </c>
      <c r="I116" t="s">
        <v>599</v>
      </c>
      <c r="J116" t="str">
        <f t="shared" si="4"/>
        <v>Neudecker, Nils</v>
      </c>
      <c r="K116" t="str">
        <f t="shared" si="5"/>
        <v>D120152</v>
      </c>
    </row>
    <row r="117" spans="1:11" ht="15.75">
      <c r="A117" s="216" t="s">
        <v>292</v>
      </c>
      <c r="B117" s="229" t="s">
        <v>654</v>
      </c>
      <c r="C117" s="214" t="s">
        <v>280</v>
      </c>
      <c r="D117" s="243" t="s">
        <v>553</v>
      </c>
      <c r="E117" s="251">
        <f>VLOOKUP(D117,'MANNSCHAFTEN+SPIELER'!F:Y,20,FALSE)</f>
        <v>34282</v>
      </c>
      <c r="H117" s="244" t="s">
        <v>598</v>
      </c>
      <c r="I117" t="s">
        <v>600</v>
      </c>
      <c r="J117" t="str">
        <f t="shared" si="4"/>
        <v>Neudecker, Bianca</v>
      </c>
      <c r="K117" t="str">
        <f t="shared" si="5"/>
        <v>D120158</v>
      </c>
    </row>
    <row r="118" spans="1:11" ht="15.75">
      <c r="A118" s="216" t="s">
        <v>292</v>
      </c>
      <c r="B118" s="229" t="s">
        <v>612</v>
      </c>
      <c r="C118" s="214" t="s">
        <v>280</v>
      </c>
      <c r="D118" s="243" t="s">
        <v>610</v>
      </c>
      <c r="E118" s="251">
        <f>VLOOKUP(D118,'MANNSCHAFTEN+SPIELER'!F:Y,20,FALSE)</f>
        <v>27626</v>
      </c>
      <c r="H118" s="244" t="s">
        <v>613</v>
      </c>
      <c r="I118" t="s">
        <v>506</v>
      </c>
      <c r="J118" t="str">
        <f aca="true" t="shared" si="6" ref="J118:J126">H118&amp;", "&amp;I118</f>
        <v>Jeromin, Michael</v>
      </c>
      <c r="K118" t="str">
        <f aca="true" t="shared" si="7" ref="K118:K126">+D118</f>
        <v>D120175</v>
      </c>
    </row>
    <row r="119" spans="1:11" ht="15.75">
      <c r="A119" s="236" t="s">
        <v>85</v>
      </c>
      <c r="B119" s="237" t="s">
        <v>629</v>
      </c>
      <c r="C119" s="238" t="s">
        <v>274</v>
      </c>
      <c r="D119" s="243" t="s">
        <v>640</v>
      </c>
      <c r="E119" s="251">
        <f>VLOOKUP(D119,'MANNSCHAFTEN+SPIELER'!F:Y,20,FALSE)</f>
        <v>25090</v>
      </c>
      <c r="H119" s="240" t="s">
        <v>630</v>
      </c>
      <c r="I119" t="s">
        <v>516</v>
      </c>
      <c r="J119" t="str">
        <f t="shared" si="6"/>
        <v>Lackner, Uwe</v>
      </c>
      <c r="K119" t="str">
        <f t="shared" si="7"/>
        <v>D153432</v>
      </c>
    </row>
    <row r="120" spans="1:11" ht="15.75">
      <c r="A120" s="236" t="s">
        <v>85</v>
      </c>
      <c r="B120" s="237" t="s">
        <v>631</v>
      </c>
      <c r="C120" s="238" t="s">
        <v>274</v>
      </c>
      <c r="D120" s="243" t="s">
        <v>639</v>
      </c>
      <c r="E120" s="251">
        <f>VLOOKUP(D120,'MANNSCHAFTEN+SPIELER'!F:Y,20,FALSE)</f>
        <v>25426</v>
      </c>
      <c r="H120" s="240" t="s">
        <v>632</v>
      </c>
      <c r="I120" t="s">
        <v>506</v>
      </c>
      <c r="J120" t="str">
        <f t="shared" si="6"/>
        <v>Kraft, Michael</v>
      </c>
      <c r="K120" t="str">
        <f t="shared" si="7"/>
        <v>D153433</v>
      </c>
    </row>
    <row r="121" spans="1:11" ht="15.75">
      <c r="A121" s="236" t="s">
        <v>85</v>
      </c>
      <c r="B121" s="237" t="s">
        <v>633</v>
      </c>
      <c r="C121" s="238" t="s">
        <v>274</v>
      </c>
      <c r="D121" s="243" t="s">
        <v>638</v>
      </c>
      <c r="E121" s="251">
        <f>VLOOKUP(D121,'MANNSCHAFTEN+SPIELER'!F:Y,20,FALSE)</f>
        <v>24539</v>
      </c>
      <c r="H121" s="240" t="s">
        <v>634</v>
      </c>
      <c r="I121" t="s">
        <v>414</v>
      </c>
      <c r="J121" t="str">
        <f t="shared" si="6"/>
        <v>Schnabel, Klaus</v>
      </c>
      <c r="K121" t="str">
        <f t="shared" si="7"/>
        <v>D153431</v>
      </c>
    </row>
    <row r="122" spans="1:11" ht="15.75">
      <c r="A122" s="236" t="s">
        <v>85</v>
      </c>
      <c r="B122" s="249" t="s">
        <v>641</v>
      </c>
      <c r="C122" s="238" t="s">
        <v>274</v>
      </c>
      <c r="D122" s="243" t="s">
        <v>644</v>
      </c>
      <c r="E122" s="251" t="e">
        <f>VLOOKUP(D122,'MANNSCHAFTEN+SPIELER'!F:Y,20,FALSE)</f>
        <v>#N/A</v>
      </c>
      <c r="H122" s="249" t="s">
        <v>647</v>
      </c>
      <c r="I122" s="110" t="s">
        <v>650</v>
      </c>
      <c r="J122" t="str">
        <f t="shared" si="6"/>
        <v>Beckschulte, Axel</v>
      </c>
      <c r="K122" t="str">
        <f t="shared" si="7"/>
        <v>D153435</v>
      </c>
    </row>
    <row r="123" spans="1:11" ht="15.75">
      <c r="A123" s="236" t="s">
        <v>85</v>
      </c>
      <c r="B123" s="249" t="s">
        <v>642</v>
      </c>
      <c r="C123" s="238" t="s">
        <v>274</v>
      </c>
      <c r="D123" s="243" t="s">
        <v>645</v>
      </c>
      <c r="E123" s="251" t="e">
        <f>VLOOKUP(D123,'MANNSCHAFTEN+SPIELER'!F:Y,20,FALSE)</f>
        <v>#N/A</v>
      </c>
      <c r="H123" s="249" t="s">
        <v>648</v>
      </c>
      <c r="I123" s="245" t="s">
        <v>445</v>
      </c>
      <c r="J123" t="str">
        <f t="shared" si="6"/>
        <v>Hornig, Thorsten</v>
      </c>
      <c r="K123" t="str">
        <f t="shared" si="7"/>
        <v>D153434</v>
      </c>
    </row>
    <row r="124" spans="1:11" ht="15.75">
      <c r="A124" s="236" t="s">
        <v>85</v>
      </c>
      <c r="B124" s="249" t="s">
        <v>643</v>
      </c>
      <c r="C124" s="238" t="s">
        <v>274</v>
      </c>
      <c r="D124" s="243" t="s">
        <v>646</v>
      </c>
      <c r="E124" s="251" t="e">
        <f>VLOOKUP(D124,'MANNSCHAFTEN+SPIELER'!F:Y,20,FALSE)</f>
        <v>#N/A</v>
      </c>
      <c r="H124" s="249" t="s">
        <v>649</v>
      </c>
      <c r="I124" s="245" t="s">
        <v>485</v>
      </c>
      <c r="J124" t="str">
        <f t="shared" si="6"/>
        <v>Zirkelbach, Marco</v>
      </c>
      <c r="K124" t="str">
        <f t="shared" si="7"/>
        <v>D153430</v>
      </c>
    </row>
    <row r="125" spans="1:11" ht="15.75">
      <c r="A125" s="216" t="s">
        <v>275</v>
      </c>
      <c r="B125" s="211" t="s">
        <v>655</v>
      </c>
      <c r="C125" s="214" t="s">
        <v>280</v>
      </c>
      <c r="D125" s="243" t="s">
        <v>656</v>
      </c>
      <c r="E125" s="251">
        <f>VLOOKUP(D125,'MANNSCHAFTEN+SPIELER'!F:Y,20,FALSE)</f>
        <v>31372</v>
      </c>
      <c r="H125" s="244" t="s">
        <v>658</v>
      </c>
      <c r="I125" t="s">
        <v>407</v>
      </c>
      <c r="J125" t="str">
        <f t="shared" si="6"/>
        <v>Pötzsch, Nadine</v>
      </c>
      <c r="K125" t="str">
        <f t="shared" si="7"/>
        <v>D152645</v>
      </c>
    </row>
    <row r="126" spans="1:11" ht="15.75">
      <c r="A126" s="216" t="s">
        <v>275</v>
      </c>
      <c r="B126" s="211" t="s">
        <v>659</v>
      </c>
      <c r="C126" s="214" t="s">
        <v>274</v>
      </c>
      <c r="D126" s="243" t="s">
        <v>657</v>
      </c>
      <c r="E126" s="251">
        <f>VLOOKUP(D126,'MANNSCHAFTEN+SPIELER'!F:Y,20,FALSE)</f>
        <v>30767</v>
      </c>
      <c r="H126" s="244" t="s">
        <v>660</v>
      </c>
      <c r="I126" t="s">
        <v>663</v>
      </c>
      <c r="J126" t="str">
        <f t="shared" si="6"/>
        <v>Zivkovic, Damir</v>
      </c>
      <c r="K126" t="str">
        <f t="shared" si="7"/>
        <v>D152644</v>
      </c>
    </row>
  </sheetData>
  <sheetProtection/>
  <autoFilter ref="A4:K124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2:C26"/>
  <sheetViews>
    <sheetView zoomScale="90" zoomScaleNormal="90" zoomScalePageLayoutView="0" workbookViewId="0" topLeftCell="A1">
      <selection activeCell="E27" sqref="E27"/>
    </sheetView>
  </sheetViews>
  <sheetFormatPr defaultColWidth="11.421875" defaultRowHeight="12.75"/>
  <cols>
    <col min="1" max="1" width="28.57421875" style="0" customWidth="1"/>
    <col min="3" max="3" width="82.8515625" style="0" customWidth="1"/>
  </cols>
  <sheetData>
    <row r="2" spans="1:3" ht="57.75" customHeight="1">
      <c r="A2" s="142" t="s">
        <v>122</v>
      </c>
      <c r="B2" s="113"/>
      <c r="C2" s="113"/>
    </row>
    <row r="3" spans="1:3" ht="24" customHeight="1">
      <c r="A3" s="113"/>
      <c r="B3" s="142" t="s">
        <v>117</v>
      </c>
      <c r="C3" s="113"/>
    </row>
    <row r="4" spans="1:3" ht="12.75">
      <c r="A4" s="113"/>
      <c r="B4" s="143" t="s">
        <v>118</v>
      </c>
      <c r="C4" s="143" t="s">
        <v>110</v>
      </c>
    </row>
    <row r="5" spans="1:3" ht="12.75">
      <c r="A5" s="113"/>
      <c r="B5" s="143"/>
      <c r="C5" s="143" t="s">
        <v>119</v>
      </c>
    </row>
    <row r="6" spans="1:3" ht="12.75">
      <c r="A6" s="113"/>
      <c r="B6" s="143"/>
      <c r="C6" s="143" t="s">
        <v>61</v>
      </c>
    </row>
    <row r="7" spans="1:3" ht="24" customHeight="1">
      <c r="A7" s="113"/>
      <c r="B7" s="143" t="s">
        <v>154</v>
      </c>
      <c r="C7" s="143"/>
    </row>
    <row r="8" spans="1:3" ht="21.75" customHeight="1">
      <c r="A8" s="113"/>
      <c r="B8" s="143" t="s">
        <v>155</v>
      </c>
      <c r="C8" s="143"/>
    </row>
    <row r="9" spans="1:3" ht="19.5" customHeight="1">
      <c r="A9" s="113"/>
      <c r="B9" s="143" t="s">
        <v>155</v>
      </c>
      <c r="C9" s="143"/>
    </row>
    <row r="10" spans="1:3" ht="12.75">
      <c r="A10" s="113"/>
      <c r="B10" s="113"/>
      <c r="C10" s="113"/>
    </row>
    <row r="11" spans="1:3" ht="20.25" customHeight="1">
      <c r="A11" s="113"/>
      <c r="B11" s="143" t="s">
        <v>118</v>
      </c>
      <c r="C11" s="143" t="s">
        <v>120</v>
      </c>
    </row>
    <row r="12" spans="1:3" ht="12.75">
      <c r="A12" s="113"/>
      <c r="B12" s="113"/>
      <c r="C12" s="113"/>
    </row>
    <row r="13" spans="1:3" ht="20.25" customHeight="1">
      <c r="A13" s="113"/>
      <c r="B13" s="143" t="s">
        <v>118</v>
      </c>
      <c r="C13" s="143" t="s">
        <v>120</v>
      </c>
    </row>
    <row r="14" spans="1:3" ht="20.25" customHeight="1">
      <c r="A14" s="113"/>
      <c r="B14" s="113"/>
      <c r="C14" s="113"/>
    </row>
    <row r="15" spans="1:3" ht="20.25" customHeight="1">
      <c r="A15" s="113" t="s">
        <v>157</v>
      </c>
      <c r="B15" s="143" t="s">
        <v>158</v>
      </c>
      <c r="C15" s="143"/>
    </row>
    <row r="16" spans="1:3" ht="12.75">
      <c r="A16" s="113"/>
      <c r="B16" s="113"/>
      <c r="C16" s="113"/>
    </row>
    <row r="17" ht="17.25" customHeight="1"/>
    <row r="18" spans="1:3" ht="57.75" customHeight="1">
      <c r="A18" s="145" t="s">
        <v>122</v>
      </c>
      <c r="B18" s="146"/>
      <c r="C18" s="146"/>
    </row>
    <row r="19" spans="1:3" ht="12.75">
      <c r="A19" s="146" t="s">
        <v>126</v>
      </c>
      <c r="B19" s="144" t="s">
        <v>123</v>
      </c>
      <c r="C19" s="144"/>
    </row>
    <row r="20" spans="1:3" ht="12.75">
      <c r="A20" s="146" t="s">
        <v>125</v>
      </c>
      <c r="B20" s="144" t="s">
        <v>124</v>
      </c>
      <c r="C20" s="144"/>
    </row>
    <row r="21" ht="17.25" customHeight="1"/>
    <row r="22" spans="1:3" ht="31.5" customHeight="1">
      <c r="A22" t="s">
        <v>160</v>
      </c>
      <c r="B22" s="144" t="s">
        <v>161</v>
      </c>
      <c r="C22" s="144"/>
    </row>
    <row r="23" ht="13.5" customHeight="1"/>
    <row r="24" ht="12.75">
      <c r="A24" s="141" t="s">
        <v>121</v>
      </c>
    </row>
    <row r="25" ht="12.75">
      <c r="A25" t="s">
        <v>116</v>
      </c>
    </row>
    <row r="26" ht="12.75">
      <c r="A26" t="s">
        <v>127</v>
      </c>
    </row>
  </sheetData>
  <sheetProtection password="CD58"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BT26"/>
  <sheetViews>
    <sheetView tabSelected="1" zoomScale="80" zoomScaleNormal="80" zoomScalePageLayoutView="0" workbookViewId="0" topLeftCell="A1">
      <selection activeCell="A10" sqref="A10"/>
    </sheetView>
  </sheetViews>
  <sheetFormatPr defaultColWidth="11.421875" defaultRowHeight="12.75"/>
  <cols>
    <col min="1" max="1" width="10.421875" style="0" customWidth="1"/>
    <col min="2" max="2" width="12.140625" style="0" customWidth="1"/>
    <col min="3" max="3" width="2.7109375" style="0" customWidth="1"/>
    <col min="4" max="4" width="0.5625" style="0" customWidth="1"/>
    <col min="5" max="5" width="1.7109375" style="0" customWidth="1"/>
    <col min="6" max="6" width="0.5625" style="0" customWidth="1"/>
    <col min="7" max="7" width="1.7109375" style="0" customWidth="1"/>
    <col min="8" max="8" width="5.8515625" style="0" customWidth="1"/>
    <col min="9" max="10" width="7.8515625" style="0" customWidth="1"/>
    <col min="11" max="11" width="0.5625" style="0" customWidth="1"/>
    <col min="12" max="12" width="1.7109375" style="0" customWidth="1"/>
    <col min="13" max="13" width="0.5625" style="0" customWidth="1"/>
    <col min="14" max="14" width="1.7109375" style="0" customWidth="1"/>
    <col min="15" max="15" width="3.00390625" style="0" customWidth="1"/>
    <col min="16" max="16" width="4.00390625" style="0" customWidth="1"/>
    <col min="17" max="17" width="7.8515625" style="0" customWidth="1"/>
    <col min="18" max="18" width="0.5625" style="0" customWidth="1"/>
    <col min="19" max="19" width="1.7109375" style="0" customWidth="1"/>
    <col min="20" max="20" width="0.5625" style="0" customWidth="1"/>
    <col min="21" max="21" width="1.7109375" style="0" customWidth="1"/>
    <col min="22" max="22" width="5.7109375" style="0" customWidth="1"/>
    <col min="23" max="23" width="10.421875" style="0" customWidth="1"/>
    <col min="24" max="24" width="0.5625" style="0" customWidth="1"/>
    <col min="25" max="25" width="1.7109375" style="0" customWidth="1"/>
    <col min="26" max="26" width="0.5625" style="0" customWidth="1"/>
    <col min="27" max="27" width="1.7109375" style="0" customWidth="1"/>
    <col min="28" max="28" width="9.8515625" style="0" customWidth="1"/>
    <col min="29" max="29" width="7.8515625" style="0" customWidth="1"/>
    <col min="30" max="30" width="0.5625" style="0" customWidth="1"/>
    <col min="31" max="31" width="1.7109375" style="0" customWidth="1"/>
    <col min="32" max="32" width="0.5625" style="0" customWidth="1"/>
    <col min="33" max="33" width="1.7109375" style="0" customWidth="1"/>
    <col min="34" max="34" width="3.140625" style="0" customWidth="1"/>
    <col min="35" max="35" width="6.7109375" style="0" customWidth="1"/>
    <col min="36" max="36" width="5.140625" style="0" customWidth="1"/>
    <col min="37" max="37" width="0.5625" style="0" customWidth="1"/>
    <col min="38" max="38" width="1.7109375" style="0" customWidth="1"/>
    <col min="39" max="39" width="0.5625" style="0" customWidth="1"/>
    <col min="40" max="40" width="1.7109375" style="0" customWidth="1"/>
    <col min="41" max="41" width="3.140625" style="0" customWidth="1"/>
    <col min="42" max="42" width="0.2890625" style="0" customWidth="1"/>
    <col min="43" max="46" width="10.7109375" style="0" customWidth="1"/>
    <col min="47" max="47" width="5.8515625" style="0" customWidth="1"/>
    <col min="48" max="48" width="9.8515625" style="0" customWidth="1"/>
    <col min="49" max="49" width="10.140625" style="0" customWidth="1"/>
    <col min="50" max="50" width="9.8515625" style="0" customWidth="1"/>
    <col min="52" max="52" width="2.28125" style="0" bestFit="1" customWidth="1"/>
    <col min="54" max="54" width="2.28125" style="0" bestFit="1" customWidth="1"/>
    <col min="55" max="55" width="2.28125" style="0" customWidth="1"/>
    <col min="57" max="59" width="2.28125" style="0" customWidth="1"/>
    <col min="60" max="60" width="5.8515625" style="0" customWidth="1"/>
    <col min="61" max="61" width="9.140625" style="0" customWidth="1"/>
    <col min="62" max="63" width="5.8515625" style="0" customWidth="1"/>
    <col min="65" max="65" width="2.28125" style="0" customWidth="1"/>
    <col min="67" max="68" width="2.28125" style="0" customWidth="1"/>
    <col min="70" max="72" width="2.28125" style="0" customWidth="1"/>
  </cols>
  <sheetData>
    <row r="1" spans="1:46" ht="61.5" customHeight="1">
      <c r="A1" s="16"/>
      <c r="B1" s="315" t="s">
        <v>539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06" t="s">
        <v>70</v>
      </c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151" t="s">
        <v>64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</row>
    <row r="2" spans="1:46" ht="19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52" t="s">
        <v>40</v>
      </c>
      <c r="R2" s="152"/>
      <c r="S2" s="152"/>
      <c r="T2" s="152"/>
      <c r="U2" s="152"/>
      <c r="V2" s="308" t="s">
        <v>170</v>
      </c>
      <c r="W2" s="308"/>
      <c r="X2" s="308"/>
      <c r="Y2" s="308"/>
      <c r="Z2" s="308"/>
      <c r="AA2" s="308"/>
      <c r="AB2" s="308"/>
      <c r="AC2" s="308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</row>
    <row r="3" spans="1:46" ht="19.5" customHeight="1">
      <c r="A3" s="153" t="s">
        <v>2</v>
      </c>
      <c r="B3" s="154"/>
      <c r="C3" s="316" t="str">
        <f>IF(übertrag!Q2=TRUE,"X","")</f>
        <v>X</v>
      </c>
      <c r="D3" s="317"/>
      <c r="E3" s="318"/>
      <c r="F3" s="15"/>
      <c r="G3" s="15"/>
      <c r="H3" s="15"/>
      <c r="I3" s="153" t="s">
        <v>6</v>
      </c>
      <c r="J3" s="155"/>
      <c r="K3" s="154"/>
      <c r="L3" s="156"/>
      <c r="M3" s="309">
        <f>IF(übertrag!Q6=TRUE,"X","")</f>
      </c>
      <c r="N3" s="310"/>
      <c r="O3" s="311"/>
      <c r="P3" s="16"/>
      <c r="Q3" s="157" t="s">
        <v>37</v>
      </c>
      <c r="R3" s="157"/>
      <c r="S3" s="157"/>
      <c r="T3" s="157"/>
      <c r="U3" s="157"/>
      <c r="V3" s="294" t="str">
        <f>+übertrag!AI8</f>
        <v>Eppelheim</v>
      </c>
      <c r="W3" s="294"/>
      <c r="X3" s="294"/>
      <c r="Y3" s="294"/>
      <c r="Z3" s="294"/>
      <c r="AA3" s="294"/>
      <c r="AB3" s="294"/>
      <c r="AC3" s="157"/>
      <c r="AD3" s="16"/>
      <c r="AE3" s="152"/>
      <c r="AF3" s="152"/>
      <c r="AG3" s="152"/>
      <c r="AH3" s="158" t="s">
        <v>4</v>
      </c>
      <c r="AI3" s="292"/>
      <c r="AJ3" s="293"/>
      <c r="AK3" s="293"/>
      <c r="AL3" s="293"/>
      <c r="AM3" s="293"/>
      <c r="AN3" s="293"/>
      <c r="AO3" s="15"/>
      <c r="AP3" s="16"/>
      <c r="AQ3" s="16"/>
      <c r="AR3" s="16"/>
      <c r="AS3" s="16"/>
      <c r="AT3" s="16"/>
    </row>
    <row r="4" spans="1:46" ht="19.5" customHeight="1">
      <c r="A4" s="228" t="s">
        <v>5</v>
      </c>
      <c r="B4" s="163"/>
      <c r="C4" s="319">
        <f>IF(übertrag!Q3=TRUE,"X","")</f>
      </c>
      <c r="D4" s="320"/>
      <c r="E4" s="321"/>
      <c r="F4" s="15"/>
      <c r="G4" s="15"/>
      <c r="H4" s="15"/>
      <c r="I4" s="159" t="s">
        <v>3</v>
      </c>
      <c r="J4" s="160"/>
      <c r="K4" s="157"/>
      <c r="L4" s="161"/>
      <c r="M4" s="312">
        <f>IF(übertrag!Q5=TRUE,"X","")</f>
      </c>
      <c r="N4" s="313"/>
      <c r="O4" s="314"/>
      <c r="P4" s="16"/>
      <c r="Q4" s="157" t="s">
        <v>38</v>
      </c>
      <c r="R4" s="157"/>
      <c r="S4" s="157"/>
      <c r="T4" s="157"/>
      <c r="U4" s="157"/>
      <c r="V4" s="294" t="str">
        <f>+übertrag!AJ8</f>
        <v>Classic Arena</v>
      </c>
      <c r="W4" s="294"/>
      <c r="X4" s="294"/>
      <c r="Y4" s="294"/>
      <c r="Z4" s="294"/>
      <c r="AA4" s="294"/>
      <c r="AB4" s="294"/>
      <c r="AC4" s="157"/>
      <c r="AD4" s="157"/>
      <c r="AE4" s="157"/>
      <c r="AF4" s="157"/>
      <c r="AG4" s="157"/>
      <c r="AH4" s="157"/>
      <c r="AI4" s="162"/>
      <c r="AJ4" s="162"/>
      <c r="AK4" s="157"/>
      <c r="AL4" s="157"/>
      <c r="AM4" s="157"/>
      <c r="AN4" s="157"/>
      <c r="AO4" s="15"/>
      <c r="AP4" s="16"/>
      <c r="AQ4" s="16"/>
      <c r="AR4" s="16"/>
      <c r="AS4" s="16"/>
      <c r="AT4" s="16"/>
    </row>
    <row r="5" spans="1:46" ht="19.5" customHeight="1">
      <c r="A5" s="282" t="s">
        <v>541</v>
      </c>
      <c r="B5" s="283"/>
      <c r="C5" s="286"/>
      <c r="D5" s="287"/>
      <c r="E5" s="287"/>
      <c r="F5" s="287"/>
      <c r="G5" s="287"/>
      <c r="H5" s="288"/>
      <c r="I5" s="159"/>
      <c r="J5" s="160"/>
      <c r="K5" s="157"/>
      <c r="L5" s="161"/>
      <c r="M5" s="312">
        <f>IF(übertrag!Q7=TRUE,"X","")</f>
      </c>
      <c r="N5" s="313"/>
      <c r="O5" s="314"/>
      <c r="P5" s="16"/>
      <c r="Q5" s="163" t="s">
        <v>39</v>
      </c>
      <c r="R5" s="157"/>
      <c r="S5" s="157"/>
      <c r="T5" s="157"/>
      <c r="U5" s="157"/>
      <c r="V5" s="295"/>
      <c r="W5" s="295"/>
      <c r="X5" s="295"/>
      <c r="Y5" s="295"/>
      <c r="Z5" s="295"/>
      <c r="AA5" s="295"/>
      <c r="AB5" s="295"/>
      <c r="AC5" s="163"/>
      <c r="AD5" s="152"/>
      <c r="AE5" s="152"/>
      <c r="AF5" s="152"/>
      <c r="AG5" s="152"/>
      <c r="AH5" s="158" t="s">
        <v>7</v>
      </c>
      <c r="AI5" s="295" t="s">
        <v>540</v>
      </c>
      <c r="AJ5" s="296"/>
      <c r="AK5" s="295"/>
      <c r="AL5" s="295"/>
      <c r="AM5" s="295"/>
      <c r="AN5" s="295"/>
      <c r="AO5" s="15"/>
      <c r="AP5" s="16"/>
      <c r="AQ5" s="16"/>
      <c r="AR5" s="16"/>
      <c r="AS5" s="16"/>
      <c r="AT5" s="16"/>
    </row>
    <row r="6" spans="1:72" ht="19.5" customHeight="1">
      <c r="A6" s="284"/>
      <c r="B6" s="285"/>
      <c r="C6" s="289"/>
      <c r="D6" s="290"/>
      <c r="E6" s="290"/>
      <c r="F6" s="290"/>
      <c r="G6" s="290"/>
      <c r="H6" s="291"/>
      <c r="I6" s="164"/>
      <c r="J6" s="165"/>
      <c r="K6" s="166"/>
      <c r="L6" s="167"/>
      <c r="M6" s="278">
        <f>IF(übertrag!Q8=TRUE,"X","")</f>
      </c>
      <c r="N6" s="279"/>
      <c r="O6" s="280"/>
      <c r="P6" s="16"/>
      <c r="Q6" s="168" t="str">
        <f>IF(übertrag!R8=TRUE,"X","")</f>
        <v>X</v>
      </c>
      <c r="R6" s="157"/>
      <c r="S6" s="300" t="s">
        <v>169</v>
      </c>
      <c r="T6" s="300"/>
      <c r="U6" s="300"/>
      <c r="V6" s="300"/>
      <c r="W6" s="300"/>
      <c r="X6" s="300"/>
      <c r="Y6" s="300"/>
      <c r="Z6" s="300"/>
      <c r="AA6" s="300"/>
      <c r="AB6" s="300"/>
      <c r="AC6" s="169">
        <f>IF(übertrag!R9=TRUE,"X","")</f>
      </c>
      <c r="AD6" s="157"/>
      <c r="AE6" s="157"/>
      <c r="AF6" s="157"/>
      <c r="AG6" s="157"/>
      <c r="AH6" s="157"/>
      <c r="AI6" s="170" t="s">
        <v>79</v>
      </c>
      <c r="AJ6" s="79">
        <f>+übertrag!AE150</f>
        <v>9</v>
      </c>
      <c r="AK6" s="171"/>
      <c r="AL6" s="163"/>
      <c r="AM6" s="163"/>
      <c r="AN6" s="163"/>
      <c r="AO6" s="15"/>
      <c r="AP6" s="16"/>
      <c r="AQ6" s="16"/>
      <c r="AR6" s="16"/>
      <c r="AS6" s="16"/>
      <c r="AT6" s="16"/>
      <c r="AU6" s="262" t="s">
        <v>115</v>
      </c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</row>
    <row r="7" spans="1:72" ht="7.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2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</row>
    <row r="8" spans="1:72" ht="18">
      <c r="A8" s="152" t="s">
        <v>17</v>
      </c>
      <c r="B8" s="152"/>
      <c r="C8" s="281">
        <f>'MANNSCHAFTEN+SPIELER'!P4</f>
        <v>0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152" t="s">
        <v>18</v>
      </c>
      <c r="S8" s="152"/>
      <c r="T8" s="152"/>
      <c r="U8" s="152"/>
      <c r="V8" s="152"/>
      <c r="W8" s="152"/>
      <c r="X8" s="152"/>
      <c r="Y8" s="281">
        <f>IF(übertrag!H2,VLOOKUP(übertrag!H2,Gastmannschaft,2,),"")</f>
        <v>0</v>
      </c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16"/>
      <c r="AQ8" s="195" t="s">
        <v>162</v>
      </c>
      <c r="AR8" s="196"/>
      <c r="AS8" s="16"/>
      <c r="AT8" s="16"/>
      <c r="AU8" s="264" t="s">
        <v>51</v>
      </c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6"/>
      <c r="BH8" s="259" t="s">
        <v>108</v>
      </c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1"/>
    </row>
    <row r="9" spans="1:72" ht="6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14"/>
      <c r="AV9" s="115"/>
      <c r="AW9" s="115"/>
      <c r="AX9" s="115"/>
      <c r="AY9" s="116"/>
      <c r="AZ9" s="116"/>
      <c r="BA9" s="116"/>
      <c r="BB9" s="116"/>
      <c r="BC9" s="116"/>
      <c r="BD9" s="116"/>
      <c r="BE9" s="116"/>
      <c r="BF9" s="116"/>
      <c r="BG9" s="117"/>
      <c r="BH9" s="114"/>
      <c r="BI9" s="115"/>
      <c r="BJ9" s="115"/>
      <c r="BK9" s="115"/>
      <c r="BL9" s="116"/>
      <c r="BM9" s="116"/>
      <c r="BN9" s="116"/>
      <c r="BO9" s="116"/>
      <c r="BP9" s="116"/>
      <c r="BQ9" s="116"/>
      <c r="BR9" s="116"/>
      <c r="BS9" s="116"/>
      <c r="BT9" s="117"/>
    </row>
    <row r="10" spans="1:72" ht="12.75">
      <c r="A10" s="173" t="s">
        <v>41</v>
      </c>
      <c r="B10" s="174" t="s">
        <v>42</v>
      </c>
      <c r="C10" s="174"/>
      <c r="D10" s="174"/>
      <c r="E10" s="174"/>
      <c r="F10" s="174"/>
      <c r="G10" s="174"/>
      <c r="H10" s="175"/>
      <c r="I10" s="176" t="s">
        <v>43</v>
      </c>
      <c r="J10" s="176" t="s">
        <v>46</v>
      </c>
      <c r="K10" s="275" t="s">
        <v>10</v>
      </c>
      <c r="L10" s="276"/>
      <c r="M10" s="276"/>
      <c r="N10" s="276"/>
      <c r="O10" s="277"/>
      <c r="P10" s="176" t="s">
        <v>8</v>
      </c>
      <c r="Q10" s="177" t="s">
        <v>9</v>
      </c>
      <c r="R10" s="178" t="s">
        <v>41</v>
      </c>
      <c r="S10" s="154"/>
      <c r="T10" s="154"/>
      <c r="U10" s="154"/>
      <c r="V10" s="156"/>
      <c r="W10" s="174" t="s">
        <v>44</v>
      </c>
      <c r="X10" s="174"/>
      <c r="Y10" s="174"/>
      <c r="Z10" s="174"/>
      <c r="AA10" s="174"/>
      <c r="AB10" s="175"/>
      <c r="AC10" s="176" t="s">
        <v>43</v>
      </c>
      <c r="AD10" s="275" t="s">
        <v>46</v>
      </c>
      <c r="AE10" s="276"/>
      <c r="AF10" s="276"/>
      <c r="AG10" s="276"/>
      <c r="AH10" s="277"/>
      <c r="AI10" s="176" t="s">
        <v>10</v>
      </c>
      <c r="AJ10" s="176" t="s">
        <v>8</v>
      </c>
      <c r="AK10" s="275" t="s">
        <v>9</v>
      </c>
      <c r="AL10" s="276"/>
      <c r="AM10" s="276"/>
      <c r="AN10" s="276"/>
      <c r="AO10" s="304"/>
      <c r="AP10" s="16"/>
      <c r="AQ10" s="16" t="s">
        <v>51</v>
      </c>
      <c r="AR10" s="16" t="s">
        <v>108</v>
      </c>
      <c r="AS10" s="16"/>
      <c r="AT10" s="16"/>
      <c r="AU10" s="118" t="s">
        <v>113</v>
      </c>
      <c r="AV10" s="133" t="s">
        <v>46</v>
      </c>
      <c r="AW10" s="133" t="s">
        <v>10</v>
      </c>
      <c r="AX10" s="133" t="s">
        <v>8</v>
      </c>
      <c r="AY10" s="255" t="s">
        <v>9</v>
      </c>
      <c r="AZ10" s="254"/>
      <c r="BA10" s="253" t="s">
        <v>10</v>
      </c>
      <c r="BB10" s="254"/>
      <c r="BC10" s="255" t="s">
        <v>114</v>
      </c>
      <c r="BD10" s="255"/>
      <c r="BE10" s="255"/>
      <c r="BF10" s="255"/>
      <c r="BG10" s="267"/>
      <c r="BH10" s="126" t="s">
        <v>113</v>
      </c>
      <c r="BI10" s="134" t="s">
        <v>46</v>
      </c>
      <c r="BJ10" s="134" t="s">
        <v>10</v>
      </c>
      <c r="BK10" s="134" t="s">
        <v>8</v>
      </c>
      <c r="BL10" s="256" t="s">
        <v>9</v>
      </c>
      <c r="BM10" s="257"/>
      <c r="BN10" s="258" t="s">
        <v>10</v>
      </c>
      <c r="BO10" s="257"/>
      <c r="BP10" s="137"/>
      <c r="BQ10" s="256" t="s">
        <v>8</v>
      </c>
      <c r="BR10" s="256"/>
      <c r="BS10" s="256"/>
      <c r="BT10" s="268"/>
    </row>
    <row r="11" spans="1:72" ht="28.5" customHeight="1">
      <c r="A11" s="103">
        <f>übertrag!O16</f>
        <v>0</v>
      </c>
      <c r="B11" s="269">
        <f>übertrag!Z2</f>
        <v>0</v>
      </c>
      <c r="C11" s="270"/>
      <c r="D11" s="270"/>
      <c r="E11" s="270"/>
      <c r="F11" s="270"/>
      <c r="G11" s="270"/>
      <c r="H11" s="271"/>
      <c r="I11" s="225">
        <f>übertrag!M16</f>
        <v>0</v>
      </c>
      <c r="J11" s="94">
        <f>IF(Einzelergebnisse!C7=0,"",Einzelergebnisse!C7)</f>
      </c>
      <c r="K11" s="272">
        <f>IF(Einzelergebnisse!D7=0,"",Einzelergebnisse!D7)</f>
      </c>
      <c r="L11" s="273"/>
      <c r="M11" s="273"/>
      <c r="N11" s="273"/>
      <c r="O11" s="274"/>
      <c r="P11" s="94">
        <f>IF(Einzelergebnisse!E7=0,"",Einzelergebnisse!E7)</f>
      </c>
      <c r="Q11" s="106">
        <f>IF(Einzelergebnisse!F7=0,"",Einzelergebnisse!F7)</f>
      </c>
      <c r="R11" s="297">
        <f>IF(übertrag!O2="",übertrag!P2,übertrag!O2)</f>
        <v>0</v>
      </c>
      <c r="S11" s="298"/>
      <c r="T11" s="298"/>
      <c r="U11" s="298"/>
      <c r="V11" s="299"/>
      <c r="W11" s="269">
        <f>IF(übertrag!K2="",übertrag!L2,übertrag!K2)</f>
        <v>0</v>
      </c>
      <c r="X11" s="270"/>
      <c r="Y11" s="270"/>
      <c r="Z11" s="270"/>
      <c r="AA11" s="270"/>
      <c r="AB11" s="271"/>
      <c r="AC11" s="227">
        <f>IF(übertrag!M2="",übertrag!N2,übertrag!M2)</f>
        <v>0</v>
      </c>
      <c r="AD11" s="301">
        <f>IF(Einzelergebnisse!J7=0,"",Einzelergebnisse!J7)</f>
      </c>
      <c r="AE11" s="302"/>
      <c r="AF11" s="302"/>
      <c r="AG11" s="302"/>
      <c r="AH11" s="305"/>
      <c r="AI11" s="105">
        <f>IF(Einzelergebnisse!K7=0,"",Einzelergebnisse!K7)</f>
      </c>
      <c r="AJ11" s="105">
        <f>IF(Einzelergebnisse!L7=0,"",Einzelergebnisse!L7)</f>
      </c>
      <c r="AK11" s="301">
        <f>IF(Einzelergebnisse!M7=0,"",Einzelergebnisse!M7)</f>
      </c>
      <c r="AL11" s="302"/>
      <c r="AM11" s="302"/>
      <c r="AN11" s="302"/>
      <c r="AO11" s="303"/>
      <c r="AP11" s="16"/>
      <c r="AQ11" s="191"/>
      <c r="AR11" s="191"/>
      <c r="AT11" s="140"/>
      <c r="AU11" s="118">
        <f aca="true" t="shared" si="0" ref="AU11:AU16">IF(Q11="",1,0)</f>
        <v>1</v>
      </c>
      <c r="AV11" s="120">
        <f>IF(AND(Gesamtergebnis!$Q$17&gt;0,Gesamtergebnis!Q11&lt;=MIN($Q$11:$Q$16)),Gesamtergebnis!J11+Gesamtergebnis!$J$17,Gesamtergebnis!J11)</f>
      </c>
      <c r="AW11" s="120">
        <f>IF(AND(Gesamtergebnis!$Q$17&gt;0,Gesamtergebnis!Q11&lt;=MIN($Q$11:$Q$16)),Gesamtergebnis!K11+Gesamtergebnis!$K$17,Gesamtergebnis!K11)</f>
      </c>
      <c r="AX11" s="120">
        <f>IF(AND(Gesamtergebnis!$Q$17&gt;0,Gesamtergebnis!Q11&lt;=MIN($Q$11:$Q$16)),Gesamtergebnis!P11+Gesamtergebnis!$P$17,Gesamtergebnis!P11)</f>
      </c>
      <c r="AY11" s="120">
        <f>IF(AND(Gesamtergebnis!$Q$17&gt;0,Gesamtergebnis!Q11&lt;=MIN($Q$11:$Q$16)),Gesamtergebnis!Q11+Gesamtergebnis!$Q$17,Gesamtergebnis!Q11)</f>
      </c>
      <c r="AZ11" s="135">
        <f aca="true" t="shared" si="1" ref="AZ11:AZ16">IF(AY11&lt;=MIN($AY$11:$AY$16),2,1)</f>
        <v>1</v>
      </c>
      <c r="BA11" s="136">
        <f>IF(AZ11=1,"",+Gesamtergebnis!AW11)</f>
      </c>
      <c r="BB11" s="135">
        <f aca="true" t="shared" si="2" ref="BB11:BB16">IF(BA11&lt;=MIN($BA$11:$BA$16),2,1)</f>
        <v>1</v>
      </c>
      <c r="BC11" s="121">
        <f aca="true" t="shared" si="3" ref="BC11:BC16">IF(P11&lt;&gt;"",+P11,1)</f>
        <v>1</v>
      </c>
      <c r="BD11" s="121">
        <f>IF(BB11=1,"",+Gesamtergebnis!BC11*-1)</f>
      </c>
      <c r="BE11" s="121">
        <f aca="true" t="shared" si="4" ref="BE11:BE16">IF(BD11&lt;=MIN($BD$11:$BD$16),2,1)</f>
        <v>1</v>
      </c>
      <c r="BF11" s="121">
        <f>+IF(SUM(AU11:AU16)&gt;0,1,+BE11)</f>
        <v>1</v>
      </c>
      <c r="BG11" s="150">
        <f aca="true" t="shared" si="5" ref="BG11:BG16">IF(AQ11&lt;&gt;"X",BF11,1)</f>
        <v>1</v>
      </c>
      <c r="BH11" s="126">
        <f aca="true" t="shared" si="6" ref="BH11:BH16">IF(AK11="",1,0)</f>
        <v>1</v>
      </c>
      <c r="BI11" s="128">
        <f>IF(AND(Gesamtergebnis!$AK$17&gt;0,Gesamtergebnis!AK11&lt;=MIN($AK$11:$AK$16)),Gesamtergebnis!AD11+Gesamtergebnis!$AD$17,Gesamtergebnis!AD11)</f>
      </c>
      <c r="BJ11" s="128">
        <f>IF(AND(Gesamtergebnis!$AK$17&gt;0,Gesamtergebnis!AK11&lt;=MIN($AK$11:$AK$16)),Gesamtergebnis!AI11+Gesamtergebnis!$AI$17,Gesamtergebnis!AI11)</f>
      </c>
      <c r="BK11" s="128">
        <f>IF(AND(Gesamtergebnis!$AK$17&gt;0,Gesamtergebnis!AK11&lt;=MIN($AK$11:$AK$16)),Gesamtergebnis!AJ11+Gesamtergebnis!$AJ$17,Gesamtergebnis!AJ11)</f>
      </c>
      <c r="BL11" s="128">
        <f>IF(AND(Gesamtergebnis!$AK$17&gt;0,Gesamtergebnis!AK11&lt;=MIN($AK$11:$AK$16)),Gesamtergebnis!AK11+Gesamtergebnis!$AK$17,Gesamtergebnis!AK11)</f>
      </c>
      <c r="BM11" s="138">
        <f aca="true" t="shared" si="7" ref="BM11:BM16">IF(BL11&lt;=MIN($BL$11:$BL$16),2,1)</f>
        <v>1</v>
      </c>
      <c r="BN11" s="139">
        <f>IF(BM11=1,"",+Gesamtergebnis!AI11)</f>
      </c>
      <c r="BO11" s="138">
        <f aca="true" t="shared" si="8" ref="BO11:BO16">IF(BN11&lt;=MIN($BN$11:$BN$16),2,1)</f>
        <v>1</v>
      </c>
      <c r="BP11" s="127">
        <f aca="true" t="shared" si="9" ref="BP11:BP16">IF(AJ11&lt;&gt;"",+AJ11,1)</f>
        <v>1</v>
      </c>
      <c r="BQ11" s="127">
        <f>IF(BO11=1,"",+Gesamtergebnis!BP11*-1)</f>
      </c>
      <c r="BR11" s="127">
        <f aca="true" t="shared" si="10" ref="BR11:BR16">IF(BQ11&lt;=MIN($BQ$11:$BQ$16),2,1)</f>
        <v>1</v>
      </c>
      <c r="BS11" s="127">
        <f>+IF(SUM(BH11:BH16)&gt;0,1,+BR11)</f>
        <v>1</v>
      </c>
      <c r="BT11" s="129">
        <f aca="true" t="shared" si="11" ref="BT11:BT16">IF(AR11&lt;&gt;"X",BS11,1)</f>
        <v>1</v>
      </c>
    </row>
    <row r="12" spans="1:72" ht="28.5" customHeight="1">
      <c r="A12" s="103">
        <f>übertrag!O17</f>
        <v>0</v>
      </c>
      <c r="B12" s="269">
        <f>übertrag!Z3</f>
        <v>0</v>
      </c>
      <c r="C12" s="270"/>
      <c r="D12" s="270"/>
      <c r="E12" s="270"/>
      <c r="F12" s="270"/>
      <c r="G12" s="270"/>
      <c r="H12" s="271"/>
      <c r="I12" s="225">
        <f>übertrag!M17</f>
        <v>0</v>
      </c>
      <c r="J12" s="94">
        <f>IF(Einzelergebnisse!C12=0,"",Einzelergebnisse!C12)</f>
      </c>
      <c r="K12" s="272">
        <f>IF(Einzelergebnisse!D12=0,"",Einzelergebnisse!D12)</f>
      </c>
      <c r="L12" s="273"/>
      <c r="M12" s="273"/>
      <c r="N12" s="273"/>
      <c r="O12" s="274"/>
      <c r="P12" s="94">
        <f>IF(Einzelergebnisse!E12=0,"",Einzelergebnisse!E12)</f>
      </c>
      <c r="Q12" s="106">
        <f>IF(Einzelergebnisse!F12=0,"",Einzelergebnisse!F12)</f>
      </c>
      <c r="R12" s="297">
        <f>IF(übertrag!O3="",übertrag!P3,übertrag!O3)</f>
        <v>0</v>
      </c>
      <c r="S12" s="298"/>
      <c r="T12" s="298"/>
      <c r="U12" s="298"/>
      <c r="V12" s="299"/>
      <c r="W12" s="269">
        <f>IF(übertrag!K3="",übertrag!L3,übertrag!K3)</f>
        <v>0</v>
      </c>
      <c r="X12" s="270"/>
      <c r="Y12" s="270"/>
      <c r="Z12" s="270"/>
      <c r="AA12" s="270"/>
      <c r="AB12" s="271"/>
      <c r="AC12" s="227">
        <f>IF(übertrag!M3="",übertrag!N3,übertrag!M3)</f>
        <v>0</v>
      </c>
      <c r="AD12" s="301">
        <f>IF(Einzelergebnisse!J12=0,"",Einzelergebnisse!J12)</f>
      </c>
      <c r="AE12" s="302"/>
      <c r="AF12" s="302"/>
      <c r="AG12" s="302"/>
      <c r="AH12" s="305"/>
      <c r="AI12" s="105">
        <f>IF(Einzelergebnisse!K12=0,"",Einzelergebnisse!K12)</f>
      </c>
      <c r="AJ12" s="105">
        <f>IF(Einzelergebnisse!L12=0,"",Einzelergebnisse!L12)</f>
      </c>
      <c r="AK12" s="301">
        <f>IF(Einzelergebnisse!M12=0,"",Einzelergebnisse!M12)</f>
      </c>
      <c r="AL12" s="302"/>
      <c r="AM12" s="302"/>
      <c r="AN12" s="302"/>
      <c r="AO12" s="303"/>
      <c r="AP12" s="16"/>
      <c r="AQ12" s="191"/>
      <c r="AR12" s="191"/>
      <c r="AU12" s="118">
        <f t="shared" si="0"/>
        <v>1</v>
      </c>
      <c r="AV12" s="120">
        <f>IF(AND(Gesamtergebnis!$Q$17&gt;0,Gesamtergebnis!Q12&lt;=MIN($Q$11:$Q$16)),Gesamtergebnis!J12+Gesamtergebnis!$J$17,Gesamtergebnis!J12)</f>
      </c>
      <c r="AW12" s="120">
        <f>IF(AND(Gesamtergebnis!$Q$17&gt;0,Gesamtergebnis!Q12&lt;=MIN($Q$11:$Q$16)),Gesamtergebnis!K12+Gesamtergebnis!$K$17,Gesamtergebnis!K12)</f>
      </c>
      <c r="AX12" s="120">
        <f>IF(AND(Gesamtergebnis!$Q$17&gt;0,Gesamtergebnis!Q12&lt;=MIN($Q$11:$Q$16)),Gesamtergebnis!P12+Gesamtergebnis!$P$17,Gesamtergebnis!P12)</f>
      </c>
      <c r="AY12" s="120">
        <f>IF(AND(Gesamtergebnis!$Q$17&gt;0,Gesamtergebnis!Q12&lt;=MIN($Q$11:$Q$16)),Gesamtergebnis!Q12+Gesamtergebnis!$Q$17,Gesamtergebnis!Q12)</f>
      </c>
      <c r="AZ12" s="135">
        <f t="shared" si="1"/>
        <v>1</v>
      </c>
      <c r="BA12" s="136">
        <f>IF(AZ12=1,"",+Gesamtergebnis!AW12)</f>
      </c>
      <c r="BB12" s="135">
        <f t="shared" si="2"/>
        <v>1</v>
      </c>
      <c r="BC12" s="121">
        <f t="shared" si="3"/>
        <v>1</v>
      </c>
      <c r="BD12" s="121">
        <f>IF(BB12=1,"",+Gesamtergebnis!BC12*-1)</f>
      </c>
      <c r="BE12" s="121">
        <f t="shared" si="4"/>
        <v>1</v>
      </c>
      <c r="BF12" s="121">
        <f>+IF(SUM(AU11:AU16)&gt;0,1,+BE12)</f>
        <v>1</v>
      </c>
      <c r="BG12" s="150">
        <f t="shared" si="5"/>
        <v>1</v>
      </c>
      <c r="BH12" s="126">
        <f t="shared" si="6"/>
        <v>1</v>
      </c>
      <c r="BI12" s="128">
        <f>IF(AND(Gesamtergebnis!$AK$17&gt;0,Gesamtergebnis!AK12&lt;=MIN($AK$11:$AK$16)),Gesamtergebnis!AD12+Gesamtergebnis!$AD$17,Gesamtergebnis!AD12)</f>
      </c>
      <c r="BJ12" s="128">
        <f>IF(AND(Gesamtergebnis!$AK$17&gt;0,Gesamtergebnis!AK12&lt;=MIN($AK$11:$AK$16)),Gesamtergebnis!AI12+Gesamtergebnis!$AI$17,Gesamtergebnis!AI12)</f>
      </c>
      <c r="BK12" s="128">
        <f>IF(AND(Gesamtergebnis!$AK$17&gt;0,Gesamtergebnis!AK12&lt;=MIN($AK$11:$AK$16)),Gesamtergebnis!AJ12+Gesamtergebnis!$AJ$17,Gesamtergebnis!AJ12)</f>
      </c>
      <c r="BL12" s="128">
        <f>IF(AND(Gesamtergebnis!$AK$17&gt;0,Gesamtergebnis!AK12&lt;=MIN($AK$11:$AK$16)),Gesamtergebnis!AK12+Gesamtergebnis!$AK$17,Gesamtergebnis!AK12)</f>
      </c>
      <c r="BM12" s="138">
        <f t="shared" si="7"/>
        <v>1</v>
      </c>
      <c r="BN12" s="139">
        <f>IF(BM12=1,"",+Gesamtergebnis!AI12)</f>
      </c>
      <c r="BO12" s="138">
        <f t="shared" si="8"/>
        <v>1</v>
      </c>
      <c r="BP12" s="127">
        <f t="shared" si="9"/>
        <v>1</v>
      </c>
      <c r="BQ12" s="127">
        <f>IF(BO12=1,"",+Gesamtergebnis!BP12*-1)</f>
      </c>
      <c r="BR12" s="127">
        <f t="shared" si="10"/>
        <v>1</v>
      </c>
      <c r="BS12" s="127">
        <f>+IF(SUM(BH11:BH16)&gt;0,1,+BR12)</f>
        <v>1</v>
      </c>
      <c r="BT12" s="129">
        <f t="shared" si="11"/>
        <v>1</v>
      </c>
    </row>
    <row r="13" spans="1:72" ht="28.5" customHeight="1">
      <c r="A13" s="103">
        <f>übertrag!O18</f>
        <v>0</v>
      </c>
      <c r="B13" s="269">
        <f>übertrag!Z4</f>
        <v>0</v>
      </c>
      <c r="C13" s="270"/>
      <c r="D13" s="270"/>
      <c r="E13" s="270"/>
      <c r="F13" s="270"/>
      <c r="G13" s="270"/>
      <c r="H13" s="271"/>
      <c r="I13" s="225">
        <f>übertrag!M18</f>
        <v>0</v>
      </c>
      <c r="J13" s="94">
        <f>IF(Einzelergebnisse!C17=0,"",Einzelergebnisse!C17)</f>
      </c>
      <c r="K13" s="272">
        <f>IF(Einzelergebnisse!D17=0,"",Einzelergebnisse!D17)</f>
      </c>
      <c r="L13" s="273"/>
      <c r="M13" s="273"/>
      <c r="N13" s="273"/>
      <c r="O13" s="274"/>
      <c r="P13" s="94">
        <f>IF(Einzelergebnisse!E17=0,"",Einzelergebnisse!E17)</f>
      </c>
      <c r="Q13" s="107">
        <f>IF(Einzelergebnisse!F17=0,"",Einzelergebnisse!F17)</f>
      </c>
      <c r="R13" s="297">
        <f>IF(übertrag!O4="",übertrag!P4,übertrag!O4)</f>
        <v>0</v>
      </c>
      <c r="S13" s="298"/>
      <c r="T13" s="298"/>
      <c r="U13" s="298"/>
      <c r="V13" s="299"/>
      <c r="W13" s="269">
        <f>IF(übertrag!K4="",übertrag!L4,übertrag!K4)</f>
        <v>0</v>
      </c>
      <c r="X13" s="270"/>
      <c r="Y13" s="270"/>
      <c r="Z13" s="270"/>
      <c r="AA13" s="270"/>
      <c r="AB13" s="271"/>
      <c r="AC13" s="227">
        <f>IF(übertrag!M4="",übertrag!N4,übertrag!M4)</f>
        <v>0</v>
      </c>
      <c r="AD13" s="301">
        <f>IF(Einzelergebnisse!J17=0,"",Einzelergebnisse!J17)</f>
      </c>
      <c r="AE13" s="302"/>
      <c r="AF13" s="302"/>
      <c r="AG13" s="302"/>
      <c r="AH13" s="305"/>
      <c r="AI13" s="105">
        <f>IF(Einzelergebnisse!K17=0,"",Einzelergebnisse!K17)</f>
      </c>
      <c r="AJ13" s="105">
        <f>IF(Einzelergebnisse!L17=0,"",Einzelergebnisse!L17)</f>
      </c>
      <c r="AK13" s="301">
        <f>IF(Einzelergebnisse!M17=0,"",Einzelergebnisse!M17)</f>
      </c>
      <c r="AL13" s="302"/>
      <c r="AM13" s="302"/>
      <c r="AN13" s="302"/>
      <c r="AO13" s="303"/>
      <c r="AP13" s="16">
        <v>225</v>
      </c>
      <c r="AQ13" s="191"/>
      <c r="AR13" s="191"/>
      <c r="AU13" s="118">
        <f t="shared" si="0"/>
        <v>1</v>
      </c>
      <c r="AV13" s="120">
        <f>IF(AND(Gesamtergebnis!$Q$17&gt;0,Gesamtergebnis!Q13&lt;=MIN($Q$11:$Q$16)),Gesamtergebnis!J13+Gesamtergebnis!$J$17,Gesamtergebnis!J13)</f>
      </c>
      <c r="AW13" s="120">
        <f>IF(AND(Gesamtergebnis!$Q$17&gt;0,Gesamtergebnis!Q13&lt;=MIN($Q$11:$Q$16)),Gesamtergebnis!K13+Gesamtergebnis!$K$17,Gesamtergebnis!K13)</f>
      </c>
      <c r="AX13" s="120">
        <f>IF(AND(Gesamtergebnis!$Q$17&gt;0,Gesamtergebnis!Q13&lt;=MIN($Q$11:$Q$16)),Gesamtergebnis!P13+Gesamtergebnis!$P$17,Gesamtergebnis!P13)</f>
      </c>
      <c r="AY13" s="120">
        <f>IF(AND(Gesamtergebnis!$Q$17&gt;0,Gesamtergebnis!Q13&lt;=MIN($Q$11:$Q$16)),Gesamtergebnis!Q13+Gesamtergebnis!$Q$17,Gesamtergebnis!Q13)</f>
      </c>
      <c r="AZ13" s="135">
        <f t="shared" si="1"/>
        <v>1</v>
      </c>
      <c r="BA13" s="136">
        <f>IF(AZ13=1,"",+Gesamtergebnis!AW13)</f>
      </c>
      <c r="BB13" s="135">
        <f t="shared" si="2"/>
        <v>1</v>
      </c>
      <c r="BC13" s="121">
        <f t="shared" si="3"/>
        <v>1</v>
      </c>
      <c r="BD13" s="121">
        <f>IF(BB13=1,"",+Gesamtergebnis!BC13*-1)</f>
      </c>
      <c r="BE13" s="121">
        <f t="shared" si="4"/>
        <v>1</v>
      </c>
      <c r="BF13" s="121">
        <f>+IF(SUM(AU11:AU16)&gt;0,1,+BE13)</f>
        <v>1</v>
      </c>
      <c r="BG13" s="150">
        <f t="shared" si="5"/>
        <v>1</v>
      </c>
      <c r="BH13" s="126">
        <f t="shared" si="6"/>
        <v>1</v>
      </c>
      <c r="BI13" s="128">
        <f>IF(AND(Gesamtergebnis!$AK$17&gt;0,Gesamtergebnis!AK13&lt;=MIN($AK$11:$AK$16)),Gesamtergebnis!AD13+Gesamtergebnis!$AD$17,Gesamtergebnis!AD13)</f>
      </c>
      <c r="BJ13" s="128">
        <f>IF(AND(Gesamtergebnis!$AK$17&gt;0,Gesamtergebnis!AK13&lt;=MIN($AK$11:$AK$16)),Gesamtergebnis!AI13+Gesamtergebnis!$AI$17,Gesamtergebnis!AI13)</f>
      </c>
      <c r="BK13" s="128">
        <f>IF(AND(Gesamtergebnis!$AK$17&gt;0,Gesamtergebnis!AK13&lt;=MIN($AK$11:$AK$16)),Gesamtergebnis!AJ13+Gesamtergebnis!$AJ$17,Gesamtergebnis!AJ13)</f>
      </c>
      <c r="BL13" s="128">
        <f>IF(AND(Gesamtergebnis!$AK$17&gt;0,Gesamtergebnis!AK13&lt;=MIN($AK$11:$AK$16)),Gesamtergebnis!AK13+Gesamtergebnis!$AK$17,Gesamtergebnis!AK13)</f>
      </c>
      <c r="BM13" s="138">
        <f t="shared" si="7"/>
        <v>1</v>
      </c>
      <c r="BN13" s="139">
        <f>IF(BM13=1,"",+Gesamtergebnis!AI13)</f>
      </c>
      <c r="BO13" s="138">
        <f t="shared" si="8"/>
        <v>1</v>
      </c>
      <c r="BP13" s="127">
        <f t="shared" si="9"/>
        <v>1</v>
      </c>
      <c r="BQ13" s="127">
        <f>IF(BO13=1,"",+Gesamtergebnis!BP13*-1)</f>
      </c>
      <c r="BR13" s="127">
        <f t="shared" si="10"/>
        <v>1</v>
      </c>
      <c r="BS13" s="127">
        <f>+IF(SUM(BH11:BH16)&gt;0,1,+BR13)</f>
        <v>1</v>
      </c>
      <c r="BT13" s="129">
        <f t="shared" si="11"/>
        <v>1</v>
      </c>
    </row>
    <row r="14" spans="1:72" ht="28.5" customHeight="1">
      <c r="A14" s="103">
        <f>übertrag!O19</f>
        <v>0</v>
      </c>
      <c r="B14" s="269">
        <f>übertrag!Z5</f>
        <v>0</v>
      </c>
      <c r="C14" s="270"/>
      <c r="D14" s="270"/>
      <c r="E14" s="270"/>
      <c r="F14" s="270"/>
      <c r="G14" s="270"/>
      <c r="H14" s="271"/>
      <c r="I14" s="225">
        <f>übertrag!M19</f>
        <v>0</v>
      </c>
      <c r="J14" s="94">
        <f>IF(Einzelergebnisse!C22=0,"",Einzelergebnisse!C22)</f>
      </c>
      <c r="K14" s="272">
        <f>IF(Einzelergebnisse!D22=0,"",Einzelergebnisse!D22)</f>
      </c>
      <c r="L14" s="273"/>
      <c r="M14" s="273"/>
      <c r="N14" s="273"/>
      <c r="O14" s="274"/>
      <c r="P14" s="94">
        <f>IF(Einzelergebnisse!E22=0,"",Einzelergebnisse!E22)</f>
      </c>
      <c r="Q14" s="106">
        <f>IF(Einzelergebnisse!F22=0,"",Einzelergebnisse!F22)</f>
      </c>
      <c r="R14" s="297">
        <f>IF(übertrag!O5="",übertrag!P5,übertrag!O5)</f>
        <v>0</v>
      </c>
      <c r="S14" s="298"/>
      <c r="T14" s="298"/>
      <c r="U14" s="298"/>
      <c r="V14" s="299"/>
      <c r="W14" s="269">
        <f>IF(übertrag!K5="",übertrag!L5,übertrag!K5)</f>
        <v>0</v>
      </c>
      <c r="X14" s="270"/>
      <c r="Y14" s="270"/>
      <c r="Z14" s="270"/>
      <c r="AA14" s="270"/>
      <c r="AB14" s="271"/>
      <c r="AC14" s="227">
        <f>IF(übertrag!M5="",übertrag!N5,übertrag!M5)</f>
        <v>0</v>
      </c>
      <c r="AD14" s="301">
        <f>IF(Einzelergebnisse!J22=0,"",Einzelergebnisse!J22)</f>
      </c>
      <c r="AE14" s="302"/>
      <c r="AF14" s="302"/>
      <c r="AG14" s="302"/>
      <c r="AH14" s="305"/>
      <c r="AI14" s="105">
        <f>IF(Einzelergebnisse!K22=0,"",Einzelergebnisse!K22)</f>
      </c>
      <c r="AJ14" s="105">
        <f>IF(Einzelergebnisse!L22=0,"",Einzelergebnisse!L22)</f>
      </c>
      <c r="AK14" s="301">
        <f>IF(Einzelergebnisse!M22=0,"",Einzelergebnisse!M22)</f>
      </c>
      <c r="AL14" s="302"/>
      <c r="AM14" s="302"/>
      <c r="AN14" s="302"/>
      <c r="AO14" s="303"/>
      <c r="AP14" s="16"/>
      <c r="AQ14" s="191"/>
      <c r="AR14" s="191"/>
      <c r="AU14" s="118">
        <f t="shared" si="0"/>
        <v>1</v>
      </c>
      <c r="AV14" s="120">
        <f>IF(AND(Gesamtergebnis!$Q$17&gt;0,Gesamtergebnis!Q14&lt;=MIN($Q$11:$Q$16)),Gesamtergebnis!J14+Gesamtergebnis!$J$17,Gesamtergebnis!J14)</f>
      </c>
      <c r="AW14" s="120">
        <f>IF(AND(Gesamtergebnis!$Q$17&gt;0,Gesamtergebnis!Q14&lt;=MIN($Q$11:$Q$16)),Gesamtergebnis!K14+Gesamtergebnis!$K$17,Gesamtergebnis!K14)</f>
      </c>
      <c r="AX14" s="120">
        <f>IF(AND(Gesamtergebnis!$Q$17&gt;0,Gesamtergebnis!Q14&lt;=MIN($Q$11:$Q$16)),Gesamtergebnis!P14+Gesamtergebnis!$P$17,Gesamtergebnis!P14)</f>
      </c>
      <c r="AY14" s="120">
        <f>IF(AND(Gesamtergebnis!$Q$17&gt;0,Gesamtergebnis!Q14&lt;=MIN($Q$11:$Q$16)),Gesamtergebnis!Q14+Gesamtergebnis!$Q$17,Gesamtergebnis!Q14)</f>
      </c>
      <c r="AZ14" s="135">
        <f t="shared" si="1"/>
        <v>1</v>
      </c>
      <c r="BA14" s="136">
        <f>IF(AZ14=1,"",+Gesamtergebnis!AW14)</f>
      </c>
      <c r="BB14" s="135">
        <f t="shared" si="2"/>
        <v>1</v>
      </c>
      <c r="BC14" s="121">
        <f t="shared" si="3"/>
        <v>1</v>
      </c>
      <c r="BD14" s="121">
        <f>IF(BB14=1,"",+Gesamtergebnis!BC14*-1)</f>
      </c>
      <c r="BE14" s="121">
        <f t="shared" si="4"/>
        <v>1</v>
      </c>
      <c r="BF14" s="121">
        <f>+IF(SUM(AU11:AU16)&gt;0,1,+BE14)</f>
        <v>1</v>
      </c>
      <c r="BG14" s="150">
        <f t="shared" si="5"/>
        <v>1</v>
      </c>
      <c r="BH14" s="126">
        <f t="shared" si="6"/>
        <v>1</v>
      </c>
      <c r="BI14" s="128">
        <f>IF(AND(Gesamtergebnis!$AK$17&gt;0,Gesamtergebnis!AK14&lt;=MIN($AK$11:$AK$16)),Gesamtergebnis!AD14+Gesamtergebnis!$AD$17,Gesamtergebnis!AD14)</f>
      </c>
      <c r="BJ14" s="128">
        <f>IF(AND(Gesamtergebnis!$AK$17&gt;0,Gesamtergebnis!AK14&lt;=MIN($AK$11:$AK$16)),Gesamtergebnis!AI14+Gesamtergebnis!$AI$17,Gesamtergebnis!AI14)</f>
      </c>
      <c r="BK14" s="128">
        <f>IF(AND(Gesamtergebnis!$AK$17&gt;0,Gesamtergebnis!AK14&lt;=MIN($AK$11:$AK$16)),Gesamtergebnis!AJ14+Gesamtergebnis!$AJ$17,Gesamtergebnis!AJ14)</f>
      </c>
      <c r="BL14" s="128">
        <f>IF(AND(Gesamtergebnis!$AK$17&gt;0,Gesamtergebnis!AK14&lt;=MIN($AK$11:$AK$16)),Gesamtergebnis!AK14+Gesamtergebnis!$AK$17,Gesamtergebnis!AK14)</f>
      </c>
      <c r="BM14" s="138">
        <f t="shared" si="7"/>
        <v>1</v>
      </c>
      <c r="BN14" s="139">
        <f>IF(BM14=1,"",+Gesamtergebnis!AI14)</f>
      </c>
      <c r="BO14" s="138">
        <f t="shared" si="8"/>
        <v>1</v>
      </c>
      <c r="BP14" s="127">
        <f t="shared" si="9"/>
        <v>1</v>
      </c>
      <c r="BQ14" s="127">
        <f>IF(BO14=1,"",+Gesamtergebnis!BP14*-1)</f>
      </c>
      <c r="BR14" s="127">
        <f t="shared" si="10"/>
        <v>1</v>
      </c>
      <c r="BS14" s="127">
        <f>+IF(SUM(BH11:BH16)&gt;0,1,+BR14)</f>
        <v>1</v>
      </c>
      <c r="BT14" s="129">
        <f t="shared" si="11"/>
        <v>1</v>
      </c>
    </row>
    <row r="15" spans="1:72" ht="28.5" customHeight="1">
      <c r="A15" s="103">
        <f>übertrag!O20</f>
        <v>0</v>
      </c>
      <c r="B15" s="269">
        <f>übertrag!Z6</f>
        <v>0</v>
      </c>
      <c r="C15" s="270"/>
      <c r="D15" s="270"/>
      <c r="E15" s="270"/>
      <c r="F15" s="270"/>
      <c r="G15" s="270"/>
      <c r="H15" s="271"/>
      <c r="I15" s="225">
        <f>übertrag!M20</f>
        <v>0</v>
      </c>
      <c r="J15" s="94">
        <f>IF(Einzelergebnisse!C27=0,"",Einzelergebnisse!C27)</f>
      </c>
      <c r="K15" s="272">
        <f>IF(Einzelergebnisse!D27=0,"",Einzelergebnisse!D27)</f>
      </c>
      <c r="L15" s="273"/>
      <c r="M15" s="273"/>
      <c r="N15" s="273"/>
      <c r="O15" s="274"/>
      <c r="P15" s="94">
        <f>IF(Einzelergebnisse!E27=0,"",Einzelergebnisse!E27)</f>
      </c>
      <c r="Q15" s="106">
        <f>IF(Einzelergebnisse!F27=0,"",Einzelergebnisse!F27)</f>
      </c>
      <c r="R15" s="297">
        <f>IF(übertrag!O6="",übertrag!P6,übertrag!O6)</f>
        <v>0</v>
      </c>
      <c r="S15" s="298"/>
      <c r="T15" s="298"/>
      <c r="U15" s="298"/>
      <c r="V15" s="299"/>
      <c r="W15" s="269">
        <f>IF(übertrag!K6="",übertrag!L6,übertrag!K6)</f>
        <v>0</v>
      </c>
      <c r="X15" s="270"/>
      <c r="Y15" s="270"/>
      <c r="Z15" s="270"/>
      <c r="AA15" s="270"/>
      <c r="AB15" s="271"/>
      <c r="AC15" s="227">
        <f>IF(übertrag!M6="",übertrag!N6,übertrag!M6)</f>
        <v>0</v>
      </c>
      <c r="AD15" s="301">
        <f>IF(Einzelergebnisse!J27=0,"",Einzelergebnisse!J27)</f>
      </c>
      <c r="AE15" s="302"/>
      <c r="AF15" s="302"/>
      <c r="AG15" s="302"/>
      <c r="AH15" s="305"/>
      <c r="AI15" s="105">
        <f>IF(Einzelergebnisse!K27=0,"",Einzelergebnisse!K27)</f>
      </c>
      <c r="AJ15" s="105">
        <f>IF(Einzelergebnisse!L27=0,"",Einzelergebnisse!L27)</f>
      </c>
      <c r="AK15" s="301">
        <f>IF(Einzelergebnisse!M27=0,"",Einzelergebnisse!M27)</f>
      </c>
      <c r="AL15" s="302"/>
      <c r="AM15" s="302"/>
      <c r="AN15" s="302"/>
      <c r="AO15" s="303"/>
      <c r="AP15" s="16"/>
      <c r="AQ15" s="191"/>
      <c r="AR15" s="191"/>
      <c r="AU15" s="118">
        <f t="shared" si="0"/>
        <v>1</v>
      </c>
      <c r="AV15" s="120">
        <f>IF(AND(Gesamtergebnis!$Q$17&gt;0,Gesamtergebnis!Q15&lt;=MIN($Q$11:$Q$16)),Gesamtergebnis!J15+Gesamtergebnis!$J$17,Gesamtergebnis!J15)</f>
      </c>
      <c r="AW15" s="120">
        <f>IF(AND(Gesamtergebnis!$Q$17&gt;0,Gesamtergebnis!Q15&lt;=MIN($Q$11:$Q$16)),Gesamtergebnis!K15+Gesamtergebnis!$K$17,Gesamtergebnis!K15)</f>
      </c>
      <c r="AX15" s="120">
        <f>IF(AND(Gesamtergebnis!$Q$17&gt;0,Gesamtergebnis!Q15&lt;=MIN($Q$11:$Q$16)),Gesamtergebnis!P15+Gesamtergebnis!$P$17,Gesamtergebnis!P15)</f>
      </c>
      <c r="AY15" s="120">
        <f>IF(AND(Gesamtergebnis!$Q$17&gt;0,Gesamtergebnis!Q15&lt;=MIN($Q$11:$Q$16)),Gesamtergebnis!Q15+Gesamtergebnis!$Q$17,Gesamtergebnis!Q15)</f>
      </c>
      <c r="AZ15" s="135">
        <f t="shared" si="1"/>
        <v>1</v>
      </c>
      <c r="BA15" s="136">
        <f>IF(AZ15=1,"",+Gesamtergebnis!AW15)</f>
      </c>
      <c r="BB15" s="135">
        <f t="shared" si="2"/>
        <v>1</v>
      </c>
      <c r="BC15" s="121">
        <f t="shared" si="3"/>
        <v>1</v>
      </c>
      <c r="BD15" s="121">
        <f>IF(BB15=1,"",+Gesamtergebnis!BC15*-1)</f>
      </c>
      <c r="BE15" s="121">
        <f t="shared" si="4"/>
        <v>1</v>
      </c>
      <c r="BF15" s="121">
        <f>+IF(SUM(AU11:AU16)&gt;0,1,+BE15)</f>
        <v>1</v>
      </c>
      <c r="BG15" s="150">
        <f t="shared" si="5"/>
        <v>1</v>
      </c>
      <c r="BH15" s="126">
        <f t="shared" si="6"/>
        <v>1</v>
      </c>
      <c r="BI15" s="128">
        <f>IF(AND(Gesamtergebnis!$AK$17&gt;0,Gesamtergebnis!AK15&lt;=MIN($AK$11:$AK$16)),Gesamtergebnis!AD15+Gesamtergebnis!$AD$17,Gesamtergebnis!AD15)</f>
      </c>
      <c r="BJ15" s="128">
        <f>IF(AND(Gesamtergebnis!$AK$17&gt;0,Gesamtergebnis!AK15&lt;=MIN($AK$11:$AK$16)),Gesamtergebnis!AI15+Gesamtergebnis!$AI$17,Gesamtergebnis!AI15)</f>
      </c>
      <c r="BK15" s="128">
        <f>IF(AND(Gesamtergebnis!$AK$17&gt;0,Gesamtergebnis!AK15&lt;=MIN($AK$11:$AK$16)),Gesamtergebnis!AJ15+Gesamtergebnis!$AJ$17,Gesamtergebnis!AJ15)</f>
      </c>
      <c r="BL15" s="128">
        <f>IF(AND(Gesamtergebnis!$AK$17&gt;0,Gesamtergebnis!AK15&lt;=MIN($AK$11:$AK$16)),Gesamtergebnis!AK15+Gesamtergebnis!$AK$17,Gesamtergebnis!AK15)</f>
      </c>
      <c r="BM15" s="138">
        <f t="shared" si="7"/>
        <v>1</v>
      </c>
      <c r="BN15" s="139">
        <f>IF(BM15=1,"",+Gesamtergebnis!AI15)</f>
      </c>
      <c r="BO15" s="138">
        <f t="shared" si="8"/>
        <v>1</v>
      </c>
      <c r="BP15" s="127">
        <f t="shared" si="9"/>
        <v>1</v>
      </c>
      <c r="BQ15" s="127">
        <f>IF(BO15=1,"",+Gesamtergebnis!BP15*-1)</f>
      </c>
      <c r="BR15" s="127">
        <f t="shared" si="10"/>
        <v>1</v>
      </c>
      <c r="BS15" s="127">
        <f>+IF(SUM(BH11:BH16)&gt;0,1,+BR15)</f>
        <v>1</v>
      </c>
      <c r="BT15" s="129">
        <f t="shared" si="11"/>
        <v>1</v>
      </c>
    </row>
    <row r="16" spans="1:72" ht="28.5" customHeight="1">
      <c r="A16" s="103">
        <f>übertrag!O21</f>
        <v>0</v>
      </c>
      <c r="B16" s="269">
        <f>übertrag!Z7</f>
        <v>0</v>
      </c>
      <c r="C16" s="270"/>
      <c r="D16" s="270"/>
      <c r="E16" s="270"/>
      <c r="F16" s="270"/>
      <c r="G16" s="270"/>
      <c r="H16" s="271"/>
      <c r="I16" s="225">
        <f>übertrag!M21</f>
        <v>0</v>
      </c>
      <c r="J16" s="104">
        <f>IF(Einzelergebnisse!C32=0,"",Einzelergebnisse!C32)</f>
      </c>
      <c r="K16" s="301">
        <f>IF(Einzelergebnisse!D32=0,"",Einzelergebnisse!D32)</f>
      </c>
      <c r="L16" s="302"/>
      <c r="M16" s="302"/>
      <c r="N16" s="302"/>
      <c r="O16" s="305"/>
      <c r="P16" s="94">
        <f>IF(Einzelergebnisse!E32=0,"",Einzelergebnisse!E32)</f>
      </c>
      <c r="Q16" s="106">
        <f>IF(Einzelergebnisse!F32=0,"",Einzelergebnisse!F32)</f>
      </c>
      <c r="R16" s="297">
        <f>IF(übertrag!O7="",übertrag!P7,übertrag!O7)</f>
        <v>0</v>
      </c>
      <c r="S16" s="298"/>
      <c r="T16" s="298"/>
      <c r="U16" s="298"/>
      <c r="V16" s="299"/>
      <c r="W16" s="269">
        <f>IF(übertrag!K7="",übertrag!L7,übertrag!K7)</f>
        <v>0</v>
      </c>
      <c r="X16" s="270"/>
      <c r="Y16" s="270"/>
      <c r="Z16" s="270"/>
      <c r="AA16" s="270"/>
      <c r="AB16" s="271"/>
      <c r="AC16" s="227">
        <f>IF(übertrag!M7="",übertrag!N7,übertrag!M7)</f>
        <v>0</v>
      </c>
      <c r="AD16" s="301">
        <f>IF(Einzelergebnisse!J32=0,"",Einzelergebnisse!J32)</f>
      </c>
      <c r="AE16" s="302"/>
      <c r="AF16" s="302"/>
      <c r="AG16" s="302"/>
      <c r="AH16" s="305"/>
      <c r="AI16" s="105">
        <f>IF(Einzelergebnisse!K32=0,"",Einzelergebnisse!K32)</f>
      </c>
      <c r="AJ16" s="105">
        <f>IF(Einzelergebnisse!L32=0,"",Einzelergebnisse!L32)</f>
      </c>
      <c r="AK16" s="301">
        <f>IF(Einzelergebnisse!M32=0,"",Einzelergebnisse!M32)</f>
      </c>
      <c r="AL16" s="302"/>
      <c r="AM16" s="302"/>
      <c r="AN16" s="302"/>
      <c r="AO16" s="303"/>
      <c r="AP16" s="16"/>
      <c r="AQ16" s="191"/>
      <c r="AR16" s="191"/>
      <c r="AU16" s="118">
        <f t="shared" si="0"/>
        <v>1</v>
      </c>
      <c r="AV16" s="120">
        <f>IF(AND(Gesamtergebnis!$Q$17&gt;0,Gesamtergebnis!Q16&lt;=MIN($Q$11:$Q$16)),Gesamtergebnis!J16+Gesamtergebnis!$J$17,Gesamtergebnis!J16)</f>
      </c>
      <c r="AW16" s="120">
        <f>IF(AND(Gesamtergebnis!$Q$17&gt;0,Gesamtergebnis!Q16&lt;=MIN($Q$11:$Q$16)),Gesamtergebnis!K16+Gesamtergebnis!$K$17,Gesamtergebnis!K16)</f>
      </c>
      <c r="AX16" s="120">
        <f>IF(AND(Gesamtergebnis!$Q$17&gt;0,Gesamtergebnis!Q16&lt;=MIN($Q$11:$Q$16)),Gesamtergebnis!P16+Gesamtergebnis!$P$17,Gesamtergebnis!P16)</f>
      </c>
      <c r="AY16" s="120">
        <f>IF(AND(Gesamtergebnis!$Q$17&gt;0,Gesamtergebnis!Q16&lt;=MIN($Q$11:$Q$16)),Gesamtergebnis!Q16+Gesamtergebnis!$Q$17,Gesamtergebnis!Q16)</f>
      </c>
      <c r="AZ16" s="135">
        <f t="shared" si="1"/>
        <v>1</v>
      </c>
      <c r="BA16" s="136">
        <f>IF(AZ16=1,"",+Gesamtergebnis!AW16)</f>
      </c>
      <c r="BB16" s="135">
        <f t="shared" si="2"/>
        <v>1</v>
      </c>
      <c r="BC16" s="121">
        <f t="shared" si="3"/>
        <v>1</v>
      </c>
      <c r="BD16" s="121">
        <f>IF(BB16=1,"",+Gesamtergebnis!BC16*-1)</f>
      </c>
      <c r="BE16" s="121">
        <f t="shared" si="4"/>
        <v>1</v>
      </c>
      <c r="BF16" s="121">
        <f>+IF(SUM(AU11:AU16)&gt;0,1,+BE16)</f>
        <v>1</v>
      </c>
      <c r="BG16" s="150">
        <f t="shared" si="5"/>
        <v>1</v>
      </c>
      <c r="BH16" s="126">
        <f t="shared" si="6"/>
        <v>1</v>
      </c>
      <c r="BI16" s="128">
        <f>IF(AND(Gesamtergebnis!$AK$17&gt;0,Gesamtergebnis!AK16&lt;=MIN($AK$11:$AK$16)),Gesamtergebnis!AD16+Gesamtergebnis!$AD$17,Gesamtergebnis!AD16)</f>
      </c>
      <c r="BJ16" s="128">
        <f>IF(AND(Gesamtergebnis!$AK$17&gt;0,Gesamtergebnis!AK16&lt;=MIN($AK$11:$AK$16)),Gesamtergebnis!AI16+Gesamtergebnis!$AI$17,Gesamtergebnis!AI16)</f>
      </c>
      <c r="BK16" s="128">
        <f>IF(AND(Gesamtergebnis!$AK$17&gt;0,Gesamtergebnis!AK16&lt;=MIN($AK$11:$AK$16)),Gesamtergebnis!AJ16+Gesamtergebnis!$AJ$17,Gesamtergebnis!AJ16)</f>
      </c>
      <c r="BL16" s="128">
        <f>IF(AND(Gesamtergebnis!$AK$17&gt;0,Gesamtergebnis!AK16&lt;=MIN($AK$11:$AK$16)),Gesamtergebnis!AK16+Gesamtergebnis!$AK$17,Gesamtergebnis!AK16)</f>
      </c>
      <c r="BM16" s="138">
        <f t="shared" si="7"/>
        <v>1</v>
      </c>
      <c r="BN16" s="139">
        <f>IF(BM16=1,"",+Gesamtergebnis!AI16)</f>
      </c>
      <c r="BO16" s="138">
        <f t="shared" si="8"/>
        <v>1</v>
      </c>
      <c r="BP16" s="127">
        <f t="shared" si="9"/>
        <v>1</v>
      </c>
      <c r="BQ16" s="127">
        <f>IF(BO16=1,"",+Gesamtergebnis!BP16*-1)</f>
      </c>
      <c r="BR16" s="127">
        <f t="shared" si="10"/>
        <v>1</v>
      </c>
      <c r="BS16" s="127">
        <f>+IF(SUM(BH11:BH16)&gt;0,1,+BR16)</f>
        <v>1</v>
      </c>
      <c r="BT16" s="129">
        <f t="shared" si="11"/>
        <v>1</v>
      </c>
    </row>
    <row r="17" spans="1:72" ht="28.5" customHeight="1" thickBot="1">
      <c r="A17" s="61">
        <f>übertrag!O22</f>
        <v>0</v>
      </c>
      <c r="B17" s="324">
        <f>übertrag!Z8</f>
        <v>0</v>
      </c>
      <c r="C17" s="325"/>
      <c r="D17" s="325"/>
      <c r="E17" s="325"/>
      <c r="F17" s="325"/>
      <c r="G17" s="325"/>
      <c r="H17" s="326"/>
      <c r="I17" s="226">
        <f>übertrag!M22</f>
        <v>0</v>
      </c>
      <c r="J17" s="104">
        <f>IF(Einzelergebnisse!C37=0,0,Einzelergebnisse!C37)</f>
        <v>0</v>
      </c>
      <c r="K17" s="301">
        <f>IF(Einzelergebnisse!D37=0,0,Einzelergebnisse!D37)</f>
        <v>0</v>
      </c>
      <c r="L17" s="302"/>
      <c r="M17" s="302"/>
      <c r="N17" s="302"/>
      <c r="O17" s="305"/>
      <c r="P17" s="94">
        <f>IF(Einzelergebnisse!E37=0,0,Einzelergebnisse!E37)</f>
        <v>0</v>
      </c>
      <c r="Q17" s="106">
        <f>IF(Einzelergebnisse!F37=0,0,Einzelergebnisse!F37)</f>
        <v>0</v>
      </c>
      <c r="R17" s="297">
        <f>IF(übertrag!O8="",übertrag!P8,übertrag!O8)</f>
        <v>0</v>
      </c>
      <c r="S17" s="298"/>
      <c r="T17" s="298"/>
      <c r="U17" s="298"/>
      <c r="V17" s="299"/>
      <c r="W17" s="269">
        <f>IF(übertrag!K8="",übertrag!L8,übertrag!K8)</f>
        <v>0</v>
      </c>
      <c r="X17" s="270"/>
      <c r="Y17" s="270"/>
      <c r="Z17" s="270"/>
      <c r="AA17" s="270"/>
      <c r="AB17" s="271"/>
      <c r="AC17" s="227">
        <f>IF(übertrag!M8="",übertrag!N8,übertrag!M8)</f>
        <v>0</v>
      </c>
      <c r="AD17" s="301">
        <f>IF(Einzelergebnisse!J37=0,0,Einzelergebnisse!J37)</f>
        <v>0</v>
      </c>
      <c r="AE17" s="302"/>
      <c r="AF17" s="302"/>
      <c r="AG17" s="302"/>
      <c r="AH17" s="305"/>
      <c r="AI17" s="105">
        <f>IF(Einzelergebnisse!K37=0,0,Einzelergebnisse!K37)</f>
        <v>0</v>
      </c>
      <c r="AJ17" s="105">
        <f>IF(Einzelergebnisse!L37=0,0,Einzelergebnisse!L37)</f>
        <v>0</v>
      </c>
      <c r="AK17" s="301">
        <f>IF(Einzelergebnisse!M37=0,0,Einzelergebnisse!M37)</f>
        <v>0</v>
      </c>
      <c r="AL17" s="302"/>
      <c r="AM17" s="302"/>
      <c r="AN17" s="302"/>
      <c r="AO17" s="303"/>
      <c r="AP17" s="16"/>
      <c r="AQ17" s="191"/>
      <c r="AR17" s="191"/>
      <c r="AU17" s="114"/>
      <c r="AV17" s="119"/>
      <c r="AW17" s="119"/>
      <c r="AX17" s="119"/>
      <c r="AY17" s="119"/>
      <c r="AZ17" s="116"/>
      <c r="BA17" s="116"/>
      <c r="BB17" s="116"/>
      <c r="BC17" s="116"/>
      <c r="BD17" s="116"/>
      <c r="BE17" s="116"/>
      <c r="BF17" s="116"/>
      <c r="BG17" s="117"/>
      <c r="BH17" s="114"/>
      <c r="BI17" s="119"/>
      <c r="BJ17" s="119"/>
      <c r="BK17" s="119"/>
      <c r="BL17" s="116"/>
      <c r="BM17" s="116"/>
      <c r="BN17" s="116"/>
      <c r="BO17" s="116"/>
      <c r="BP17" s="116"/>
      <c r="BQ17" s="116"/>
      <c r="BR17" s="116"/>
      <c r="BS17" s="116"/>
      <c r="BT17" s="117"/>
    </row>
    <row r="18" spans="1:72" ht="30" customHeight="1" thickBot="1">
      <c r="A18" s="322"/>
      <c r="B18" s="323"/>
      <c r="C18" s="323"/>
      <c r="D18" s="323"/>
      <c r="E18" s="323"/>
      <c r="F18" s="323"/>
      <c r="G18" s="323"/>
      <c r="H18" s="323"/>
      <c r="I18" s="43"/>
      <c r="J18" s="111">
        <f>SUMIF(Gesamtergebnis!BG11:BG16,1,AV11:AV17)</f>
        <v>0</v>
      </c>
      <c r="K18" s="328">
        <f>SUMIF(Gesamtergebnis!BG11:BG16,1,AW11:AW17)</f>
        <v>0</v>
      </c>
      <c r="L18" s="329">
        <f>SUMIF(Gesamtergebnis!BO11:BO16,1,L11:L17)</f>
        <v>0</v>
      </c>
      <c r="M18" s="329" t="e">
        <f>SUMIF(#REF!,1,M11:M17)</f>
        <v>#REF!</v>
      </c>
      <c r="N18" s="329" t="e">
        <f>SUMIF(#REF!,1,N11:N17)</f>
        <v>#REF!</v>
      </c>
      <c r="O18" s="330" t="e">
        <f>SUMIF(#REF!,1,O11:O17)</f>
        <v>#REF!</v>
      </c>
      <c r="P18" s="111">
        <f>SUMIF(Gesamtergebnis!BG11:BG16,1,AX11:AX17)</f>
        <v>0</v>
      </c>
      <c r="Q18" s="59">
        <f>+Gesamtergebnis!AY18</f>
        <v>0</v>
      </c>
      <c r="R18" s="322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43"/>
      <c r="AD18" s="328">
        <f>SUMIF(Gesamtergebnis!BT11:BT16,1,BI11:BI17)</f>
        <v>0</v>
      </c>
      <c r="AE18" s="329" t="e">
        <f>SUMIF(#REF!,1,AE11:AE17)</f>
        <v>#REF!</v>
      </c>
      <c r="AF18" s="329" t="e">
        <f>SUMIF(#REF!,1,AF11:AF17)</f>
        <v>#REF!</v>
      </c>
      <c r="AG18" s="329" t="e">
        <f>SUMIF(#REF!,1,AG11:AG17)</f>
        <v>#REF!</v>
      </c>
      <c r="AH18" s="330" t="e">
        <f>SUMIF(#REF!,1,AH11:AH17)</f>
        <v>#REF!</v>
      </c>
      <c r="AI18" s="111">
        <f>SUMIF(Gesamtergebnis!BT11:BT16,1,BJ11:BJ17)</f>
        <v>0</v>
      </c>
      <c r="AJ18" s="111">
        <f>SUMIF(Gesamtergebnis!BT11:BT16,1,BK11:BK17)</f>
        <v>0</v>
      </c>
      <c r="AK18" s="328">
        <f>+Gesamtergebnis!BL18</f>
        <v>0</v>
      </c>
      <c r="AL18" s="329"/>
      <c r="AM18" s="329"/>
      <c r="AN18" s="329"/>
      <c r="AO18" s="332"/>
      <c r="AP18" s="16"/>
      <c r="AU18" s="122"/>
      <c r="AV18" s="123"/>
      <c r="AW18" s="123"/>
      <c r="AX18" s="123"/>
      <c r="AY18" s="124">
        <f>IF(SUM(AU11:AU16)&lt;1,SUM(AY11:AY16)-MIN(AY11:AY16),SUM(AY11:AY16))</f>
        <v>0</v>
      </c>
      <c r="AZ18" s="123"/>
      <c r="BA18" s="123"/>
      <c r="BB18" s="123"/>
      <c r="BC18" s="123"/>
      <c r="BD18" s="123"/>
      <c r="BE18" s="123"/>
      <c r="BF18" s="123"/>
      <c r="BG18" s="125"/>
      <c r="BH18" s="122"/>
      <c r="BI18" s="123"/>
      <c r="BJ18" s="123"/>
      <c r="BK18" s="123"/>
      <c r="BL18" s="130">
        <f>IF(SUM(BH11:BH16)&lt;1,SUM(BL11:BL16)-MIN(BL11:BL16),SUM(BL11:BL16))</f>
        <v>0</v>
      </c>
      <c r="BM18" s="131"/>
      <c r="BN18" s="131"/>
      <c r="BO18" s="131"/>
      <c r="BP18" s="131"/>
      <c r="BQ18" s="131"/>
      <c r="BR18" s="131"/>
      <c r="BS18" s="131"/>
      <c r="BT18" s="132"/>
    </row>
    <row r="19" spans="1:51" ht="12.75">
      <c r="A19" s="16"/>
      <c r="B19" s="16"/>
      <c r="C19" s="16"/>
      <c r="D19" s="16"/>
      <c r="E19" s="179" t="s">
        <v>11</v>
      </c>
      <c r="F19" s="180"/>
      <c r="G19" s="181" t="s">
        <v>12</v>
      </c>
      <c r="H19" s="16"/>
      <c r="I19" s="16"/>
      <c r="J19" s="16"/>
      <c r="K19" s="16"/>
      <c r="L19" s="179" t="s">
        <v>11</v>
      </c>
      <c r="M19" s="180"/>
      <c r="N19" s="181" t="s">
        <v>12</v>
      </c>
      <c r="O19" s="16"/>
      <c r="P19" s="16"/>
      <c r="Q19" s="16"/>
      <c r="R19" s="16"/>
      <c r="S19" s="179" t="s">
        <v>11</v>
      </c>
      <c r="T19" s="180"/>
      <c r="U19" s="181" t="s">
        <v>12</v>
      </c>
      <c r="V19" s="16"/>
      <c r="W19" s="16"/>
      <c r="X19" s="16"/>
      <c r="Y19" s="179" t="s">
        <v>11</v>
      </c>
      <c r="Z19" s="180"/>
      <c r="AA19" s="181" t="s">
        <v>12</v>
      </c>
      <c r="AB19" s="16"/>
      <c r="AC19" s="16"/>
      <c r="AD19" s="16"/>
      <c r="AE19" s="179" t="s">
        <v>11</v>
      </c>
      <c r="AF19" s="180"/>
      <c r="AG19" s="181" t="s">
        <v>12</v>
      </c>
      <c r="AH19" s="16"/>
      <c r="AI19" s="16"/>
      <c r="AJ19" s="16"/>
      <c r="AK19" s="16"/>
      <c r="AL19" s="179" t="s">
        <v>11</v>
      </c>
      <c r="AM19" s="180"/>
      <c r="AN19" s="181" t="s">
        <v>12</v>
      </c>
      <c r="AO19" s="16"/>
      <c r="AP19" s="16"/>
      <c r="AY19" s="112"/>
    </row>
    <row r="20" spans="1:42" ht="10.5" customHeight="1">
      <c r="A20" s="16"/>
      <c r="B20" s="16"/>
      <c r="C20" s="182" t="s">
        <v>13</v>
      </c>
      <c r="D20" s="16"/>
      <c r="E20" s="20" t="str">
        <f>IF(übertrag!Q21=TRUE,"x","")</f>
        <v>x</v>
      </c>
      <c r="F20" s="15"/>
      <c r="G20" s="21">
        <f>IF(übertrag!Q9=TRUE,"x","")</f>
      </c>
      <c r="H20" s="16"/>
      <c r="I20" s="16"/>
      <c r="J20" s="183" t="s">
        <v>14</v>
      </c>
      <c r="K20" s="16"/>
      <c r="L20" s="20" t="str">
        <f>IF(übertrag!Q22=TRUE,"x","")</f>
        <v>x</v>
      </c>
      <c r="M20" s="16"/>
      <c r="N20" s="19">
        <f>IF(übertrag!Q10=TRUE,"x","")</f>
      </c>
      <c r="O20" s="16"/>
      <c r="P20" s="16"/>
      <c r="Q20" s="182" t="s">
        <v>15</v>
      </c>
      <c r="R20" s="16"/>
      <c r="S20" s="19">
        <f>IF(übertrag!Q23=TRUE,"x","")</f>
      </c>
      <c r="T20" s="16"/>
      <c r="U20" s="19" t="str">
        <f>IF(übertrag!Q16=TRUE,"x","")</f>
        <v>x</v>
      </c>
      <c r="V20" s="16"/>
      <c r="W20" s="182" t="s">
        <v>67</v>
      </c>
      <c r="X20" s="16"/>
      <c r="Y20" s="19">
        <f>IF(übertrag!Q24=TRUE,"x","")</f>
      </c>
      <c r="Z20" s="16"/>
      <c r="AA20" s="19" t="str">
        <f>IF(übertrag!Q17=TRUE,"x","")</f>
        <v>x</v>
      </c>
      <c r="AB20" s="16"/>
      <c r="AC20" s="182" t="s">
        <v>68</v>
      </c>
      <c r="AD20" s="16"/>
      <c r="AE20" s="19">
        <f>IF(übertrag!Q25=TRUE,"x","")</f>
      </c>
      <c r="AF20" s="16"/>
      <c r="AG20" s="19" t="str">
        <f>IF(übertrag!Q18=TRUE,"x","")</f>
        <v>x</v>
      </c>
      <c r="AH20" s="16"/>
      <c r="AI20" s="16"/>
      <c r="AJ20" s="182" t="s">
        <v>63</v>
      </c>
      <c r="AK20" s="16"/>
      <c r="AL20" s="19">
        <f>IF(übertrag!Q26=TRUE,"x","")</f>
      </c>
      <c r="AM20" s="16"/>
      <c r="AN20" s="19" t="str">
        <f>IF(übertrag!Q19=TRUE,"x","")</f>
        <v>x</v>
      </c>
      <c r="AO20" s="16"/>
      <c r="AP20" s="16"/>
    </row>
    <row r="21" spans="1:42" ht="12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84" t="s">
        <v>69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1:46" ht="15.75" customHeight="1">
      <c r="A22" s="333" t="s">
        <v>62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15"/>
      <c r="AQ22" s="2"/>
      <c r="AR22" s="2"/>
      <c r="AS22" s="2"/>
      <c r="AT22" s="2"/>
    </row>
    <row r="23" spans="1:46" ht="15.75" customHeight="1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15"/>
      <c r="AQ23" s="2"/>
      <c r="AR23" s="2"/>
      <c r="AS23" s="2"/>
      <c r="AT23" s="2"/>
    </row>
    <row r="24" spans="1:46" ht="12.75">
      <c r="A24" s="16"/>
      <c r="B24" s="16"/>
      <c r="C24" s="16"/>
      <c r="D24" s="16"/>
      <c r="E24" s="179"/>
      <c r="F24" s="181"/>
      <c r="G24" s="181"/>
      <c r="H24" s="16"/>
      <c r="I24" s="16"/>
      <c r="J24" s="16"/>
      <c r="K24" s="16"/>
      <c r="L24" s="179" t="s">
        <v>11</v>
      </c>
      <c r="M24" s="181"/>
      <c r="N24" s="181" t="s">
        <v>12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9" t="s">
        <v>11</v>
      </c>
      <c r="Z24" s="180"/>
      <c r="AA24" s="181" t="s">
        <v>12</v>
      </c>
      <c r="AB24" s="180"/>
      <c r="AC24" s="16"/>
      <c r="AD24" s="16"/>
      <c r="AE24" s="179"/>
      <c r="AF24" s="180"/>
      <c r="AG24" s="181"/>
      <c r="AH24" s="180"/>
      <c r="AI24" s="16"/>
      <c r="AJ24" s="16"/>
      <c r="AK24" s="16"/>
      <c r="AL24" s="179"/>
      <c r="AM24" s="181"/>
      <c r="AN24" s="181"/>
      <c r="AO24" s="16"/>
      <c r="AP24" s="15"/>
      <c r="AQ24" s="2"/>
      <c r="AR24" s="2"/>
      <c r="AS24" s="2"/>
      <c r="AT24" s="2"/>
    </row>
    <row r="25" spans="1:46" ht="10.5" customHeight="1">
      <c r="A25" s="16"/>
      <c r="B25" s="16"/>
      <c r="C25" s="185"/>
      <c r="D25" s="16"/>
      <c r="E25" s="80"/>
      <c r="F25" s="80"/>
      <c r="G25" s="80"/>
      <c r="H25" s="16"/>
      <c r="I25" s="16"/>
      <c r="J25" s="185" t="s">
        <v>66</v>
      </c>
      <c r="K25" s="16"/>
      <c r="L25" s="78" t="str">
        <f>IF(übertrag!Q27=TRUE,"x","")</f>
        <v>x</v>
      </c>
      <c r="M25" s="16"/>
      <c r="N25" s="78">
        <f>IF(übertrag!Q28=TRUE,"x","")</f>
      </c>
      <c r="O25" s="16"/>
      <c r="P25" s="16"/>
      <c r="Q25" s="16"/>
      <c r="R25" s="16"/>
      <c r="S25" s="16"/>
      <c r="T25" s="16"/>
      <c r="U25" s="16"/>
      <c r="V25" s="16"/>
      <c r="W25" s="186" t="s">
        <v>66</v>
      </c>
      <c r="X25" s="16"/>
      <c r="Y25" s="78" t="str">
        <f>IF(übertrag!Q29=TRUE,"x","")</f>
        <v>x</v>
      </c>
      <c r="Z25" s="16"/>
      <c r="AA25" s="78">
        <f>IF(übertrag!Q30=TRUE,"x","")</f>
      </c>
      <c r="AB25" s="16"/>
      <c r="AC25" s="186"/>
      <c r="AD25" s="16"/>
      <c r="AE25" s="80"/>
      <c r="AF25" s="80"/>
      <c r="AG25" s="80"/>
      <c r="AH25" s="187"/>
      <c r="AI25" s="16"/>
      <c r="AJ25" s="16"/>
      <c r="AK25" s="16"/>
      <c r="AL25" s="188" t="s">
        <v>16</v>
      </c>
      <c r="AM25" s="16"/>
      <c r="AN25" s="19">
        <f>IF(übertrag!Q20=TRUE,"x","")</f>
      </c>
      <c r="AO25" s="16"/>
      <c r="AP25" s="15"/>
      <c r="AQ25" s="2"/>
      <c r="AR25" s="2"/>
      <c r="AS25" s="2"/>
      <c r="AT25" s="2"/>
    </row>
    <row r="26" spans="1:46" ht="23.25" customHeight="1">
      <c r="A26" s="189"/>
      <c r="B26" s="190" t="s">
        <v>17</v>
      </c>
      <c r="C26" s="327"/>
      <c r="D26" s="327"/>
      <c r="E26" s="327"/>
      <c r="F26" s="327"/>
      <c r="G26" s="327"/>
      <c r="H26" s="327"/>
      <c r="I26" s="327"/>
      <c r="J26" s="327"/>
      <c r="K26" s="152"/>
      <c r="L26" s="189"/>
      <c r="M26" s="152"/>
      <c r="N26" s="152"/>
      <c r="O26" s="152"/>
      <c r="P26" s="152"/>
      <c r="Q26" s="190" t="s">
        <v>65</v>
      </c>
      <c r="R26" s="152"/>
      <c r="S26" s="327"/>
      <c r="T26" s="327"/>
      <c r="U26" s="327"/>
      <c r="V26" s="327"/>
      <c r="W26" s="327"/>
      <c r="X26" s="327"/>
      <c r="Y26" s="327"/>
      <c r="Z26" s="327"/>
      <c r="AA26" s="327"/>
      <c r="AB26" s="152"/>
      <c r="AC26" s="190" t="s">
        <v>18</v>
      </c>
      <c r="AD26" s="152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15"/>
      <c r="AQ26" s="2"/>
      <c r="AR26" s="2"/>
      <c r="AS26" s="2"/>
      <c r="AT26" s="2"/>
    </row>
  </sheetData>
  <sheetProtection password="CD58" sheet="1"/>
  <mergeCells count="84">
    <mergeCell ref="S26:AA26"/>
    <mergeCell ref="C26:J26"/>
    <mergeCell ref="K18:O18"/>
    <mergeCell ref="A23:AO23"/>
    <mergeCell ref="AE26:AO26"/>
    <mergeCell ref="AK18:AO18"/>
    <mergeCell ref="A22:B22"/>
    <mergeCell ref="C22:AO22"/>
    <mergeCell ref="A18:H18"/>
    <mergeCell ref="AD18:AH18"/>
    <mergeCell ref="K17:O17"/>
    <mergeCell ref="R18:AB18"/>
    <mergeCell ref="B15:H15"/>
    <mergeCell ref="B16:H16"/>
    <mergeCell ref="B17:H17"/>
    <mergeCell ref="W15:AB15"/>
    <mergeCell ref="W16:AB16"/>
    <mergeCell ref="K15:O15"/>
    <mergeCell ref="K16:O16"/>
    <mergeCell ref="B12:H12"/>
    <mergeCell ref="B13:H13"/>
    <mergeCell ref="B14:H14"/>
    <mergeCell ref="K12:O12"/>
    <mergeCell ref="K13:O13"/>
    <mergeCell ref="K14:O14"/>
    <mergeCell ref="M3:O3"/>
    <mergeCell ref="M4:O4"/>
    <mergeCell ref="M5:O5"/>
    <mergeCell ref="B1:P1"/>
    <mergeCell ref="C3:E3"/>
    <mergeCell ref="C4:E4"/>
    <mergeCell ref="AD14:AH14"/>
    <mergeCell ref="AD15:AH15"/>
    <mergeCell ref="AD16:AH16"/>
    <mergeCell ref="Q1:AA1"/>
    <mergeCell ref="V2:AC2"/>
    <mergeCell ref="W13:AB13"/>
    <mergeCell ref="W14:AB14"/>
    <mergeCell ref="R13:V13"/>
    <mergeCell ref="AK15:AO15"/>
    <mergeCell ref="AK16:AO16"/>
    <mergeCell ref="R14:V14"/>
    <mergeCell ref="W17:AB17"/>
    <mergeCell ref="R16:V16"/>
    <mergeCell ref="R17:V17"/>
    <mergeCell ref="AD17:AH17"/>
    <mergeCell ref="AK17:AO17"/>
    <mergeCell ref="AK14:AO14"/>
    <mergeCell ref="R15:V15"/>
    <mergeCell ref="AK13:AO13"/>
    <mergeCell ref="AK10:AO10"/>
    <mergeCell ref="AD10:AH10"/>
    <mergeCell ref="Y8:AO8"/>
    <mergeCell ref="AD11:AH11"/>
    <mergeCell ref="AD12:AH12"/>
    <mergeCell ref="AK11:AO11"/>
    <mergeCell ref="AK12:AO12"/>
    <mergeCell ref="W11:AB11"/>
    <mergeCell ref="AD13:AH13"/>
    <mergeCell ref="AI3:AN3"/>
    <mergeCell ref="W12:AB12"/>
    <mergeCell ref="V3:AB3"/>
    <mergeCell ref="V4:AB4"/>
    <mergeCell ref="V5:AB5"/>
    <mergeCell ref="AI5:AN5"/>
    <mergeCell ref="R11:V11"/>
    <mergeCell ref="R12:V12"/>
    <mergeCell ref="S6:AB6"/>
    <mergeCell ref="B11:H11"/>
    <mergeCell ref="K11:O11"/>
    <mergeCell ref="K10:O10"/>
    <mergeCell ref="M6:O6"/>
    <mergeCell ref="C8:Q8"/>
    <mergeCell ref="A5:B6"/>
    <mergeCell ref="C5:H6"/>
    <mergeCell ref="BA10:BB10"/>
    <mergeCell ref="AY10:AZ10"/>
    <mergeCell ref="BL10:BM10"/>
    <mergeCell ref="BN10:BO10"/>
    <mergeCell ref="BH8:BT8"/>
    <mergeCell ref="AU6:BT6"/>
    <mergeCell ref="AU8:BG8"/>
    <mergeCell ref="BC10:BG10"/>
    <mergeCell ref="BQ10:BT10"/>
  </mergeCells>
  <conditionalFormatting sqref="Y8:AO8 R18:AB18 R11:AC17 A11:I17">
    <cfRule type="cellIs" priority="2" dxfId="3" operator="equal" stopIfTrue="1">
      <formula>0</formula>
    </cfRule>
  </conditionalFormatting>
  <conditionalFormatting sqref="Q11:Q16">
    <cfRule type="expression" priority="4" dxfId="1" stopIfTrue="1">
      <formula>BG11=2</formula>
    </cfRule>
  </conditionalFormatting>
  <conditionalFormatting sqref="AK11:AO16">
    <cfRule type="expression" priority="5" dxfId="1" stopIfTrue="1">
      <formula>BT11=2</formula>
    </cfRule>
  </conditionalFormatting>
  <dataValidations count="1">
    <dataValidation allowBlank="1" showInputMessage="1" showErrorMessage="1" prompt="bitte keine Eingabe" sqref="C8:Q8 P11:Q18 AD11:AO18 R11:AC17 Y8:AO8 J11:K18 L11:O17 A11:I17"/>
  </dataValidations>
  <printOptions horizontalCentered="1"/>
  <pageMargins left="0.2755905511811024" right="0" top="0.2755905511811024" bottom="0.1968503937007874" header="0.5118110236220472" footer="0.5118110236220472"/>
  <pageSetup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P89"/>
  <sheetViews>
    <sheetView zoomScale="70" zoomScaleNormal="70" zoomScalePageLayoutView="0" workbookViewId="0" topLeftCell="A1">
      <selection activeCell="B30" sqref="B30"/>
    </sheetView>
  </sheetViews>
  <sheetFormatPr defaultColWidth="11.421875" defaultRowHeight="12.75"/>
  <cols>
    <col min="1" max="1" width="21.140625" style="16" bestFit="1" customWidth="1"/>
    <col min="2" max="2" width="5.421875" style="16" customWidth="1"/>
    <col min="3" max="3" width="6.7109375" style="84" customWidth="1"/>
    <col min="4" max="4" width="8.7109375" style="84" customWidth="1"/>
    <col min="5" max="5" width="6.7109375" style="84" customWidth="1"/>
    <col min="6" max="6" width="7.7109375" style="84" customWidth="1"/>
    <col min="7" max="7" width="11.8515625" style="15" bestFit="1" customWidth="1"/>
    <col min="8" max="8" width="20.57421875" style="16" customWidth="1"/>
    <col min="9" max="9" width="5.421875" style="16" customWidth="1"/>
    <col min="10" max="10" width="6.7109375" style="84" customWidth="1"/>
    <col min="11" max="11" width="9.421875" style="84" customWidth="1"/>
    <col min="12" max="12" width="6.28125" style="84" customWidth="1"/>
    <col min="13" max="13" width="7.57421875" style="84" customWidth="1"/>
    <col min="14" max="14" width="11.8515625" style="16" bestFit="1" customWidth="1"/>
    <col min="15" max="16384" width="11.421875" style="16" customWidth="1"/>
  </cols>
  <sheetData>
    <row r="1" spans="1:16" s="17" customFormat="1" ht="3.75" customHeight="1">
      <c r="A1" s="52"/>
      <c r="B1" s="52"/>
      <c r="C1" s="81"/>
      <c r="D1" s="81"/>
      <c r="E1" s="81"/>
      <c r="F1" s="81"/>
      <c r="G1" s="53"/>
      <c r="H1" s="54"/>
      <c r="I1" s="52"/>
      <c r="J1" s="81"/>
      <c r="K1" s="81"/>
      <c r="L1" s="81"/>
      <c r="M1" s="81"/>
      <c r="N1" s="48"/>
      <c r="O1" s="50"/>
      <c r="P1" s="50"/>
    </row>
    <row r="2" spans="1:16" s="17" customFormat="1" ht="26.25">
      <c r="A2" s="335">
        <f>Gesamtergebnis!C8</f>
        <v>0</v>
      </c>
      <c r="B2" s="335"/>
      <c r="C2" s="335"/>
      <c r="D2" s="335"/>
      <c r="E2" s="335"/>
      <c r="F2" s="335"/>
      <c r="G2" s="44"/>
      <c r="H2" s="334">
        <f>Gesamtergebnis!Y8</f>
        <v>0</v>
      </c>
      <c r="I2" s="335"/>
      <c r="J2" s="335"/>
      <c r="K2" s="335"/>
      <c r="L2" s="335"/>
      <c r="M2" s="335"/>
      <c r="N2" s="49"/>
      <c r="O2" s="50"/>
      <c r="P2" s="50"/>
    </row>
    <row r="3" spans="1:16" ht="12.75">
      <c r="A3" s="15"/>
      <c r="B3" s="15"/>
      <c r="C3" s="82"/>
      <c r="D3" s="82"/>
      <c r="E3" s="82"/>
      <c r="F3" s="82"/>
      <c r="G3" s="44"/>
      <c r="H3" s="45"/>
      <c r="I3" s="15"/>
      <c r="J3" s="82"/>
      <c r="K3" s="82"/>
      <c r="L3" s="82"/>
      <c r="M3" s="82"/>
      <c r="N3" s="49"/>
      <c r="O3" s="15"/>
      <c r="P3" s="15"/>
    </row>
    <row r="4" spans="1:16" ht="17.25" customHeight="1">
      <c r="A4" s="15" t="s">
        <v>1</v>
      </c>
      <c r="B4" s="15" t="s">
        <v>45</v>
      </c>
      <c r="C4" s="82" t="s">
        <v>46</v>
      </c>
      <c r="D4" s="82" t="s">
        <v>10</v>
      </c>
      <c r="E4" s="82" t="s">
        <v>8</v>
      </c>
      <c r="F4" s="82" t="s">
        <v>9</v>
      </c>
      <c r="G4" s="46"/>
      <c r="H4" s="45" t="s">
        <v>1</v>
      </c>
      <c r="I4" s="15" t="s">
        <v>45</v>
      </c>
      <c r="J4" s="82" t="s">
        <v>46</v>
      </c>
      <c r="K4" s="82" t="s">
        <v>10</v>
      </c>
      <c r="L4" s="82" t="s">
        <v>8</v>
      </c>
      <c r="M4" s="82" t="s">
        <v>9</v>
      </c>
      <c r="N4" s="15"/>
      <c r="O4" s="15"/>
      <c r="P4" s="15"/>
    </row>
    <row r="5" spans="1:16" ht="17.25" customHeight="1">
      <c r="A5" s="51">
        <f>Gesamtergebnis!B11</f>
        <v>0</v>
      </c>
      <c r="B5" s="192">
        <v>1</v>
      </c>
      <c r="C5" s="83"/>
      <c r="D5" s="18">
        <f>SUM(F5-C5)</f>
        <v>0</v>
      </c>
      <c r="E5" s="83"/>
      <c r="F5" s="83"/>
      <c r="G5" s="46"/>
      <c r="H5" s="47">
        <f>Gesamtergebnis!W11</f>
        <v>0</v>
      </c>
      <c r="I5" s="93">
        <f>+B6</f>
        <v>2</v>
      </c>
      <c r="J5" s="83"/>
      <c r="K5" s="18">
        <f>SUM(M5-J5)</f>
        <v>0</v>
      </c>
      <c r="L5" s="83"/>
      <c r="M5" s="83"/>
      <c r="N5" s="15"/>
      <c r="O5" s="15"/>
      <c r="P5" s="15"/>
    </row>
    <row r="6" spans="1:16" ht="17.25" customHeight="1">
      <c r="A6" s="15"/>
      <c r="B6" s="193">
        <f>+B5+1</f>
        <v>2</v>
      </c>
      <c r="C6" s="83"/>
      <c r="D6" s="18">
        <f>SUM(F6-C6)</f>
        <v>0</v>
      </c>
      <c r="E6" s="83"/>
      <c r="F6" s="83"/>
      <c r="G6" s="46"/>
      <c r="H6" s="45"/>
      <c r="I6" s="89">
        <f>+B5</f>
        <v>1</v>
      </c>
      <c r="J6" s="83"/>
      <c r="K6" s="18">
        <f>SUM(M6-J6)</f>
        <v>0</v>
      </c>
      <c r="L6" s="83"/>
      <c r="M6" s="83"/>
      <c r="N6" s="15"/>
      <c r="O6" s="15"/>
      <c r="P6" s="15"/>
    </row>
    <row r="7" spans="1:16" ht="17.25" customHeight="1">
      <c r="A7" s="15"/>
      <c r="B7" s="15"/>
      <c r="C7" s="18">
        <f>SUM(C5:C6)</f>
        <v>0</v>
      </c>
      <c r="D7" s="18">
        <f>SUM(D5:D6)</f>
        <v>0</v>
      </c>
      <c r="E7" s="18">
        <f>SUM(E5:E6)</f>
        <v>0</v>
      </c>
      <c r="F7" s="18">
        <f>SUM(F5:F6)</f>
        <v>0</v>
      </c>
      <c r="G7" s="46"/>
      <c r="H7" s="45"/>
      <c r="I7" s="15"/>
      <c r="J7" s="18">
        <f>SUM(J5:J6)</f>
        <v>0</v>
      </c>
      <c r="K7" s="18">
        <f>SUM(K5:K6)</f>
        <v>0</v>
      </c>
      <c r="L7" s="18">
        <f>SUM(L5:L6)</f>
        <v>0</v>
      </c>
      <c r="M7" s="18">
        <f>SUM(M5:M6)</f>
        <v>0</v>
      </c>
      <c r="N7" s="15"/>
      <c r="O7" s="15"/>
      <c r="P7" s="15"/>
    </row>
    <row r="8" spans="1:16" ht="12.75">
      <c r="A8" s="15"/>
      <c r="B8" s="15"/>
      <c r="C8" s="82"/>
      <c r="D8" s="82"/>
      <c r="E8" s="82"/>
      <c r="F8" s="82"/>
      <c r="G8" s="46"/>
      <c r="H8" s="45"/>
      <c r="I8" s="15"/>
      <c r="J8" s="82"/>
      <c r="K8" s="82"/>
      <c r="L8" s="82"/>
      <c r="M8" s="82"/>
      <c r="N8" s="15"/>
      <c r="O8" s="15"/>
      <c r="P8" s="15"/>
    </row>
    <row r="9" spans="1:16" ht="17.25" customHeight="1">
      <c r="A9" s="15" t="s">
        <v>1</v>
      </c>
      <c r="B9" s="15" t="s">
        <v>45</v>
      </c>
      <c r="C9" s="82" t="s">
        <v>46</v>
      </c>
      <c r="D9" s="82" t="s">
        <v>10</v>
      </c>
      <c r="E9" s="82" t="s">
        <v>8</v>
      </c>
      <c r="F9" s="82" t="s">
        <v>9</v>
      </c>
      <c r="G9" s="46"/>
      <c r="H9" s="45" t="s">
        <v>1</v>
      </c>
      <c r="I9" s="15" t="s">
        <v>45</v>
      </c>
      <c r="J9" s="82" t="s">
        <v>46</v>
      </c>
      <c r="K9" s="82" t="s">
        <v>10</v>
      </c>
      <c r="L9" s="82" t="s">
        <v>8</v>
      </c>
      <c r="M9" s="82" t="s">
        <v>9</v>
      </c>
      <c r="N9" s="15"/>
      <c r="O9" s="15"/>
      <c r="P9" s="15"/>
    </row>
    <row r="10" spans="1:16" ht="17.25" customHeight="1">
      <c r="A10" s="51">
        <f>Gesamtergebnis!B12</f>
        <v>0</v>
      </c>
      <c r="B10" s="90">
        <f>+B5+2</f>
        <v>3</v>
      </c>
      <c r="C10" s="83"/>
      <c r="D10" s="18">
        <f>SUM(F10-C10)</f>
        <v>0</v>
      </c>
      <c r="E10" s="83"/>
      <c r="F10" s="83"/>
      <c r="G10" s="46"/>
      <c r="H10" s="47">
        <f>Gesamtergebnis!W12</f>
        <v>0</v>
      </c>
      <c r="I10" s="93">
        <f>+B11</f>
        <v>4</v>
      </c>
      <c r="J10" s="83"/>
      <c r="K10" s="18">
        <f>SUM(M10-J10)</f>
        <v>0</v>
      </c>
      <c r="L10" s="83"/>
      <c r="M10" s="83"/>
      <c r="N10" s="15"/>
      <c r="O10" s="15"/>
      <c r="P10" s="15"/>
    </row>
    <row r="11" spans="1:16" ht="17.25" customHeight="1">
      <c r="A11" s="15"/>
      <c r="B11" s="89">
        <f>+B6+2</f>
        <v>4</v>
      </c>
      <c r="C11" s="83"/>
      <c r="D11" s="18">
        <f>SUM(F11-C11)</f>
        <v>0</v>
      </c>
      <c r="E11" s="83"/>
      <c r="F11" s="83"/>
      <c r="G11" s="46"/>
      <c r="H11" s="45"/>
      <c r="I11" s="89">
        <f>+B10</f>
        <v>3</v>
      </c>
      <c r="J11" s="83"/>
      <c r="K11" s="18">
        <f>SUM(M11-J11)</f>
        <v>0</v>
      </c>
      <c r="L11" s="83"/>
      <c r="M11" s="83"/>
      <c r="N11" s="15"/>
      <c r="O11" s="15"/>
      <c r="P11" s="15"/>
    </row>
    <row r="12" spans="1:15" ht="17.25" customHeight="1">
      <c r="A12" s="15"/>
      <c r="B12" s="15"/>
      <c r="C12" s="18">
        <f>SUM(C10:C11)</f>
        <v>0</v>
      </c>
      <c r="D12" s="18">
        <f>SUM(D10:D11)</f>
        <v>0</v>
      </c>
      <c r="E12" s="18">
        <f>SUM(E10:E11)</f>
        <v>0</v>
      </c>
      <c r="F12" s="18">
        <f>SUM(F10:F11)</f>
        <v>0</v>
      </c>
      <c r="G12" s="46"/>
      <c r="H12" s="45"/>
      <c r="I12" s="15"/>
      <c r="J12" s="18">
        <f>SUM(J10:J11)</f>
        <v>0</v>
      </c>
      <c r="K12" s="18">
        <f>SUM(K10:K11)</f>
        <v>0</v>
      </c>
      <c r="L12" s="18">
        <f>SUM(L10:L11)</f>
        <v>0</v>
      </c>
      <c r="M12" s="18">
        <f>SUM(M10:M11)</f>
        <v>0</v>
      </c>
      <c r="N12" s="15"/>
      <c r="O12" s="15"/>
    </row>
    <row r="13" spans="1:15" ht="12.75">
      <c r="A13" s="15"/>
      <c r="B13" s="15"/>
      <c r="C13" s="82"/>
      <c r="D13" s="82"/>
      <c r="E13" s="82"/>
      <c r="F13" s="82"/>
      <c r="G13" s="46"/>
      <c r="H13" s="45"/>
      <c r="I13" s="15"/>
      <c r="J13" s="82"/>
      <c r="K13" s="82"/>
      <c r="L13" s="82"/>
      <c r="M13" s="82"/>
      <c r="N13" s="15"/>
      <c r="O13" s="15"/>
    </row>
    <row r="14" spans="1:15" ht="17.25" customHeight="1">
      <c r="A14" s="15" t="s">
        <v>1</v>
      </c>
      <c r="B14" s="15" t="s">
        <v>45</v>
      </c>
      <c r="C14" s="82" t="s">
        <v>46</v>
      </c>
      <c r="D14" s="82" t="s">
        <v>10</v>
      </c>
      <c r="E14" s="82" t="s">
        <v>8</v>
      </c>
      <c r="F14" s="82" t="s">
        <v>9</v>
      </c>
      <c r="G14" s="46"/>
      <c r="H14" s="45" t="s">
        <v>1</v>
      </c>
      <c r="I14" s="15" t="s">
        <v>45</v>
      </c>
      <c r="J14" s="82" t="s">
        <v>46</v>
      </c>
      <c r="K14" s="82" t="s">
        <v>10</v>
      </c>
      <c r="L14" s="82" t="s">
        <v>8</v>
      </c>
      <c r="M14" s="82" t="s">
        <v>9</v>
      </c>
      <c r="N14" s="15"/>
      <c r="O14" s="15"/>
    </row>
    <row r="15" spans="1:15" ht="17.25" customHeight="1">
      <c r="A15" s="51">
        <f>Gesamtergebnis!B13</f>
        <v>0</v>
      </c>
      <c r="B15" s="90">
        <f>+B6</f>
        <v>2</v>
      </c>
      <c r="C15" s="83"/>
      <c r="D15" s="18">
        <f>SUM(F15-C15)</f>
        <v>0</v>
      </c>
      <c r="E15" s="83"/>
      <c r="F15" s="83"/>
      <c r="G15" s="46"/>
      <c r="H15" s="47">
        <f>Gesamtergebnis!W13</f>
        <v>0</v>
      </c>
      <c r="I15" s="93">
        <f>+B16</f>
        <v>1</v>
      </c>
      <c r="J15" s="83"/>
      <c r="K15" s="18">
        <f>SUM(M15-J15)</f>
        <v>0</v>
      </c>
      <c r="L15" s="83"/>
      <c r="M15" s="83"/>
      <c r="N15" s="15"/>
      <c r="O15" s="15"/>
    </row>
    <row r="16" spans="1:15" ht="17.25" customHeight="1">
      <c r="A16" s="15"/>
      <c r="B16" s="89">
        <f>+B5</f>
        <v>1</v>
      </c>
      <c r="C16" s="83"/>
      <c r="D16" s="18">
        <f>SUM(F16-C16)</f>
        <v>0</v>
      </c>
      <c r="E16" s="83"/>
      <c r="F16" s="83"/>
      <c r="G16" s="46"/>
      <c r="H16" s="45"/>
      <c r="I16" s="89">
        <f>+B15</f>
        <v>2</v>
      </c>
      <c r="J16" s="83"/>
      <c r="K16" s="18">
        <f>SUM(M16-J16)</f>
        <v>0</v>
      </c>
      <c r="L16" s="83"/>
      <c r="M16" s="83"/>
      <c r="N16" s="15"/>
      <c r="O16" s="15"/>
    </row>
    <row r="17" spans="1:15" ht="17.25" customHeight="1">
      <c r="A17" s="15"/>
      <c r="B17" s="15"/>
      <c r="C17" s="18">
        <f>SUM(C15:C16)</f>
        <v>0</v>
      </c>
      <c r="D17" s="18">
        <f>SUM(D15:D16)</f>
        <v>0</v>
      </c>
      <c r="E17" s="18">
        <f>SUM(E15:E16)</f>
        <v>0</v>
      </c>
      <c r="F17" s="18">
        <f>SUM(F15:F16)</f>
        <v>0</v>
      </c>
      <c r="G17" s="46"/>
      <c r="H17" s="45"/>
      <c r="I17" s="15"/>
      <c r="J17" s="18">
        <f>SUM(J15:J16)</f>
        <v>0</v>
      </c>
      <c r="K17" s="18">
        <f>SUM(K15:K16)</f>
        <v>0</v>
      </c>
      <c r="L17" s="18">
        <f>SUM(L15:L16)</f>
        <v>0</v>
      </c>
      <c r="M17" s="18">
        <f>SUM(M15:M16)</f>
        <v>0</v>
      </c>
      <c r="N17" s="15"/>
      <c r="O17" s="15"/>
    </row>
    <row r="18" spans="1:15" ht="12.75">
      <c r="A18" s="15"/>
      <c r="B18" s="15"/>
      <c r="C18" s="82"/>
      <c r="D18" s="82"/>
      <c r="E18" s="82"/>
      <c r="F18" s="82"/>
      <c r="G18" s="46"/>
      <c r="H18" s="45"/>
      <c r="I18" s="15"/>
      <c r="J18" s="82"/>
      <c r="K18" s="82"/>
      <c r="L18" s="82"/>
      <c r="M18" s="82"/>
      <c r="N18" s="15"/>
      <c r="O18" s="15"/>
    </row>
    <row r="19" spans="1:15" ht="17.25" customHeight="1">
      <c r="A19" s="15" t="s">
        <v>1</v>
      </c>
      <c r="B19" s="15" t="s">
        <v>45</v>
      </c>
      <c r="C19" s="82" t="s">
        <v>46</v>
      </c>
      <c r="D19" s="82" t="s">
        <v>10</v>
      </c>
      <c r="E19" s="82" t="s">
        <v>8</v>
      </c>
      <c r="F19" s="82" t="s">
        <v>9</v>
      </c>
      <c r="G19" s="46"/>
      <c r="H19" s="45" t="s">
        <v>1</v>
      </c>
      <c r="I19" s="15" t="s">
        <v>45</v>
      </c>
      <c r="J19" s="82" t="s">
        <v>46</v>
      </c>
      <c r="K19" s="82" t="s">
        <v>10</v>
      </c>
      <c r="L19" s="82" t="s">
        <v>8</v>
      </c>
      <c r="M19" s="82" t="s">
        <v>9</v>
      </c>
      <c r="N19" s="15"/>
      <c r="O19" s="15"/>
    </row>
    <row r="20" spans="1:15" ht="17.25" customHeight="1">
      <c r="A20" s="51">
        <f>Gesamtergebnis!B14</f>
        <v>0</v>
      </c>
      <c r="B20" s="93">
        <f>+B11</f>
        <v>4</v>
      </c>
      <c r="C20" s="83"/>
      <c r="D20" s="18">
        <f>SUM(F20-C20)</f>
        <v>0</v>
      </c>
      <c r="E20" s="83"/>
      <c r="F20" s="83"/>
      <c r="G20" s="46"/>
      <c r="H20" s="47">
        <f>Gesamtergebnis!W14</f>
        <v>0</v>
      </c>
      <c r="I20" s="93">
        <f>+B21</f>
        <v>3</v>
      </c>
      <c r="J20" s="83"/>
      <c r="K20" s="18">
        <f>SUM(M20-J20)</f>
        <v>0</v>
      </c>
      <c r="L20" s="83"/>
      <c r="M20" s="83"/>
      <c r="N20" s="15"/>
      <c r="O20" s="15"/>
    </row>
    <row r="21" spans="1:15" ht="17.25" customHeight="1">
      <c r="A21" s="15"/>
      <c r="B21" s="89">
        <f>+B10</f>
        <v>3</v>
      </c>
      <c r="C21" s="83"/>
      <c r="D21" s="18">
        <f>SUM(F21-C21)</f>
        <v>0</v>
      </c>
      <c r="E21" s="83"/>
      <c r="F21" s="83"/>
      <c r="G21" s="46"/>
      <c r="H21" s="45"/>
      <c r="I21" s="89">
        <f>+B20</f>
        <v>4</v>
      </c>
      <c r="J21" s="83"/>
      <c r="K21" s="18">
        <f>SUM(M21-J21)</f>
        <v>0</v>
      </c>
      <c r="L21" s="83"/>
      <c r="M21" s="83"/>
      <c r="N21" s="15"/>
      <c r="O21" s="15"/>
    </row>
    <row r="22" spans="1:15" ht="17.25" customHeight="1">
      <c r="A22" s="15"/>
      <c r="B22" s="15"/>
      <c r="C22" s="18">
        <f>SUM(C20:C21)</f>
        <v>0</v>
      </c>
      <c r="D22" s="18">
        <f>SUM(D20:D21)</f>
        <v>0</v>
      </c>
      <c r="E22" s="18">
        <f>SUM(E20:E21)</f>
        <v>0</v>
      </c>
      <c r="F22" s="18">
        <f>SUM(F20:F21)</f>
        <v>0</v>
      </c>
      <c r="G22" s="46"/>
      <c r="H22" s="45"/>
      <c r="I22" s="15"/>
      <c r="J22" s="18">
        <f>SUM(J20:J21)</f>
        <v>0</v>
      </c>
      <c r="K22" s="18">
        <f>SUM(K20:K21)</f>
        <v>0</v>
      </c>
      <c r="L22" s="18">
        <f>SUM(L20:L21)</f>
        <v>0</v>
      </c>
      <c r="M22" s="18">
        <f>SUM(M20:M21)</f>
        <v>0</v>
      </c>
      <c r="N22" s="15"/>
      <c r="O22" s="15"/>
    </row>
    <row r="23" spans="1:15" ht="12.75">
      <c r="A23" s="15"/>
      <c r="B23" s="15"/>
      <c r="C23" s="82"/>
      <c r="D23" s="82"/>
      <c r="E23" s="82"/>
      <c r="F23" s="82"/>
      <c r="G23" s="46"/>
      <c r="H23" s="45"/>
      <c r="I23" s="15"/>
      <c r="J23" s="82"/>
      <c r="K23" s="82"/>
      <c r="L23" s="82"/>
      <c r="M23" s="82"/>
      <c r="N23" s="15"/>
      <c r="O23" s="15"/>
    </row>
    <row r="24" spans="1:15" ht="17.25" customHeight="1">
      <c r="A24" s="15" t="s">
        <v>1</v>
      </c>
      <c r="B24" s="15" t="s">
        <v>45</v>
      </c>
      <c r="C24" s="82" t="s">
        <v>46</v>
      </c>
      <c r="D24" s="82" t="s">
        <v>10</v>
      </c>
      <c r="E24" s="82" t="s">
        <v>8</v>
      </c>
      <c r="F24" s="82" t="s">
        <v>9</v>
      </c>
      <c r="G24" s="46"/>
      <c r="H24" s="45" t="s">
        <v>1</v>
      </c>
      <c r="I24" s="15" t="s">
        <v>45</v>
      </c>
      <c r="J24" s="82" t="s">
        <v>46</v>
      </c>
      <c r="K24" s="82" t="s">
        <v>10</v>
      </c>
      <c r="L24" s="82" t="s">
        <v>8</v>
      </c>
      <c r="M24" s="82" t="s">
        <v>9</v>
      </c>
      <c r="N24" s="15"/>
      <c r="O24" s="15"/>
    </row>
    <row r="25" spans="1:15" ht="17.25" customHeight="1">
      <c r="A25" s="51">
        <f>Gesamtergebnis!B15</f>
        <v>0</v>
      </c>
      <c r="B25" s="90">
        <f>+B5</f>
        <v>1</v>
      </c>
      <c r="C25" s="83"/>
      <c r="D25" s="18">
        <f>SUM(F25-C25)</f>
        <v>0</v>
      </c>
      <c r="E25" s="83"/>
      <c r="F25" s="83"/>
      <c r="G25" s="46"/>
      <c r="H25" s="47">
        <f>Gesamtergebnis!W15</f>
        <v>0</v>
      </c>
      <c r="I25" s="93">
        <f>+B26</f>
        <v>2</v>
      </c>
      <c r="J25" s="83"/>
      <c r="K25" s="18">
        <f>SUM(M25-J25)</f>
        <v>0</v>
      </c>
      <c r="L25" s="83"/>
      <c r="M25" s="83"/>
      <c r="N25" s="15"/>
      <c r="O25" s="15"/>
    </row>
    <row r="26" spans="1:15" ht="17.25" customHeight="1">
      <c r="A26" s="15"/>
      <c r="B26" s="89">
        <f>+B6</f>
        <v>2</v>
      </c>
      <c r="C26" s="83"/>
      <c r="D26" s="18">
        <f>SUM(F26-C26)</f>
        <v>0</v>
      </c>
      <c r="E26" s="83"/>
      <c r="F26" s="83"/>
      <c r="G26" s="46"/>
      <c r="H26" s="45"/>
      <c r="I26" s="89">
        <f>+B25</f>
        <v>1</v>
      </c>
      <c r="J26" s="83"/>
      <c r="K26" s="18">
        <f>SUM(M26-J26)</f>
        <v>0</v>
      </c>
      <c r="L26" s="83"/>
      <c r="M26" s="83"/>
      <c r="N26" s="15"/>
      <c r="O26" s="15"/>
    </row>
    <row r="27" spans="1:15" ht="17.25" customHeight="1">
      <c r="A27" s="15"/>
      <c r="B27" s="15"/>
      <c r="C27" s="18">
        <f>SUM(C25:C26)</f>
        <v>0</v>
      </c>
      <c r="D27" s="18">
        <f>SUM(D25:D26)</f>
        <v>0</v>
      </c>
      <c r="E27" s="18">
        <f>SUM(E25:E26)</f>
        <v>0</v>
      </c>
      <c r="F27" s="18">
        <f>SUM(F25:F26)</f>
        <v>0</v>
      </c>
      <c r="G27" s="46"/>
      <c r="H27" s="45"/>
      <c r="I27" s="15"/>
      <c r="J27" s="18">
        <f>SUM(J25:J26)</f>
        <v>0</v>
      </c>
      <c r="K27" s="18">
        <f>SUM(K25:K26)</f>
        <v>0</v>
      </c>
      <c r="L27" s="18">
        <f>SUM(L25:L26)</f>
        <v>0</v>
      </c>
      <c r="M27" s="18">
        <f>SUM(M25:M26)</f>
        <v>0</v>
      </c>
      <c r="N27" s="15"/>
      <c r="O27" s="15"/>
    </row>
    <row r="28" spans="1:15" ht="12.75">
      <c r="A28" s="15"/>
      <c r="B28" s="15"/>
      <c r="C28" s="82"/>
      <c r="D28" s="82"/>
      <c r="E28" s="82"/>
      <c r="F28" s="82"/>
      <c r="G28" s="46"/>
      <c r="H28" s="45"/>
      <c r="I28" s="15"/>
      <c r="J28" s="82"/>
      <c r="K28" s="82"/>
      <c r="L28" s="82"/>
      <c r="M28" s="82"/>
      <c r="N28" s="15"/>
      <c r="O28" s="15"/>
    </row>
    <row r="29" spans="1:15" ht="17.25" customHeight="1">
      <c r="A29" s="15" t="s">
        <v>1</v>
      </c>
      <c r="B29" s="15" t="s">
        <v>45</v>
      </c>
      <c r="C29" s="82" t="s">
        <v>46</v>
      </c>
      <c r="D29" s="82" t="s">
        <v>10</v>
      </c>
      <c r="E29" s="82" t="s">
        <v>8</v>
      </c>
      <c r="F29" s="82" t="s">
        <v>9</v>
      </c>
      <c r="G29" s="46"/>
      <c r="H29" s="45" t="s">
        <v>1</v>
      </c>
      <c r="I29" s="15" t="s">
        <v>45</v>
      </c>
      <c r="J29" s="82" t="s">
        <v>46</v>
      </c>
      <c r="K29" s="82" t="s">
        <v>10</v>
      </c>
      <c r="L29" s="82" t="s">
        <v>8</v>
      </c>
      <c r="M29" s="82" t="s">
        <v>9</v>
      </c>
      <c r="N29" s="15"/>
      <c r="O29" s="15"/>
    </row>
    <row r="30" spans="1:15" ht="17.25" customHeight="1">
      <c r="A30" s="51">
        <f>Gesamtergebnis!B16</f>
        <v>0</v>
      </c>
      <c r="B30" s="90">
        <f>+B10</f>
        <v>3</v>
      </c>
      <c r="C30" s="83"/>
      <c r="D30" s="18">
        <f>SUM(F30-C30)</f>
        <v>0</v>
      </c>
      <c r="E30" s="83"/>
      <c r="F30" s="83"/>
      <c r="G30" s="46"/>
      <c r="H30" s="47">
        <f>Gesamtergebnis!W16</f>
        <v>0</v>
      </c>
      <c r="I30" s="93">
        <f>+B31</f>
        <v>4</v>
      </c>
      <c r="J30" s="83"/>
      <c r="K30" s="18">
        <f>SUM(M30-J30)</f>
        <v>0</v>
      </c>
      <c r="L30" s="83"/>
      <c r="M30" s="83"/>
      <c r="N30" s="15"/>
      <c r="O30" s="15"/>
    </row>
    <row r="31" spans="1:15" ht="17.25" customHeight="1">
      <c r="A31" s="15"/>
      <c r="B31" s="89">
        <f>+B11</f>
        <v>4</v>
      </c>
      <c r="C31" s="83"/>
      <c r="D31" s="18">
        <f>SUM(F31-C31)</f>
        <v>0</v>
      </c>
      <c r="E31" s="83"/>
      <c r="F31" s="83"/>
      <c r="G31" s="46"/>
      <c r="H31" s="45"/>
      <c r="I31" s="89">
        <f>+B30</f>
        <v>3</v>
      </c>
      <c r="J31" s="83"/>
      <c r="K31" s="18">
        <f>SUM(M31-J31)</f>
        <v>0</v>
      </c>
      <c r="L31" s="83"/>
      <c r="M31" s="83"/>
      <c r="N31" s="15"/>
      <c r="O31" s="15"/>
    </row>
    <row r="32" spans="1:15" ht="17.25" customHeight="1">
      <c r="A32" s="15"/>
      <c r="B32" s="15"/>
      <c r="C32" s="18">
        <f>SUM(C30:C31)</f>
        <v>0</v>
      </c>
      <c r="D32" s="18">
        <f>SUM(D30:D31)</f>
        <v>0</v>
      </c>
      <c r="E32" s="18">
        <f>SUM(E30:E31)</f>
        <v>0</v>
      </c>
      <c r="F32" s="18">
        <f>SUM(F30:F31)</f>
        <v>0</v>
      </c>
      <c r="G32" s="46"/>
      <c r="H32" s="45"/>
      <c r="I32" s="15"/>
      <c r="J32" s="18">
        <f>SUM(J30:J31)</f>
        <v>0</v>
      </c>
      <c r="K32" s="18">
        <f>SUM(K30:K31)</f>
        <v>0</v>
      </c>
      <c r="L32" s="18">
        <f>SUM(L30:L31)</f>
        <v>0</v>
      </c>
      <c r="M32" s="18">
        <f>SUM(M30:M31)</f>
        <v>0</v>
      </c>
      <c r="N32" s="15"/>
      <c r="O32" s="15"/>
    </row>
    <row r="33" spans="1:15" ht="12.75">
      <c r="A33" s="15"/>
      <c r="B33" s="15"/>
      <c r="C33" s="82"/>
      <c r="D33" s="82"/>
      <c r="E33" s="82"/>
      <c r="F33" s="82"/>
      <c r="G33" s="46"/>
      <c r="H33" s="45"/>
      <c r="I33" s="15"/>
      <c r="J33" s="82"/>
      <c r="K33" s="82"/>
      <c r="L33" s="82"/>
      <c r="M33" s="82"/>
      <c r="N33" s="15"/>
      <c r="O33" s="15"/>
    </row>
    <row r="34" spans="1:15" ht="17.25" customHeight="1">
      <c r="A34" s="15" t="s">
        <v>1</v>
      </c>
      <c r="B34" s="15" t="s">
        <v>45</v>
      </c>
      <c r="C34" s="82" t="s">
        <v>46</v>
      </c>
      <c r="D34" s="82" t="s">
        <v>10</v>
      </c>
      <c r="E34" s="82" t="s">
        <v>8</v>
      </c>
      <c r="F34" s="82" t="s">
        <v>9</v>
      </c>
      <c r="G34" s="46"/>
      <c r="H34" s="45" t="s">
        <v>1</v>
      </c>
      <c r="I34" s="15" t="s">
        <v>45</v>
      </c>
      <c r="J34" s="82" t="s">
        <v>46</v>
      </c>
      <c r="K34" s="82" t="s">
        <v>10</v>
      </c>
      <c r="L34" s="82" t="s">
        <v>8</v>
      </c>
      <c r="M34" s="82" t="s">
        <v>9</v>
      </c>
      <c r="N34" s="15"/>
      <c r="O34" s="15"/>
    </row>
    <row r="35" spans="1:15" ht="17.25" customHeight="1">
      <c r="A35" s="51">
        <f>Gesamtergebnis!B17</f>
        <v>0</v>
      </c>
      <c r="B35" s="83"/>
      <c r="C35" s="83"/>
      <c r="D35" s="18">
        <f>SUM(F35-C35)</f>
        <v>0</v>
      </c>
      <c r="E35" s="83"/>
      <c r="F35" s="83"/>
      <c r="G35" s="46"/>
      <c r="H35" s="47">
        <f>Gesamtergebnis!W17</f>
        <v>0</v>
      </c>
      <c r="I35" s="83"/>
      <c r="J35" s="83"/>
      <c r="K35" s="18">
        <f>SUM(M35-J35)</f>
        <v>0</v>
      </c>
      <c r="L35" s="83"/>
      <c r="M35" s="83"/>
      <c r="N35" s="15"/>
      <c r="O35" s="15"/>
    </row>
    <row r="36" spans="1:15" ht="17.25" customHeight="1">
      <c r="A36" s="15"/>
      <c r="B36" s="83"/>
      <c r="C36" s="83"/>
      <c r="D36" s="18">
        <f>SUM(F36-C36)</f>
        <v>0</v>
      </c>
      <c r="E36" s="83"/>
      <c r="F36" s="83"/>
      <c r="G36" s="46"/>
      <c r="H36" s="45"/>
      <c r="I36" s="83"/>
      <c r="J36" s="83"/>
      <c r="K36" s="18">
        <f>SUM(M36-J36)</f>
        <v>0</v>
      </c>
      <c r="L36" s="83"/>
      <c r="M36" s="83"/>
      <c r="N36" s="15"/>
      <c r="O36" s="15"/>
    </row>
    <row r="37" spans="1:15" ht="17.25" customHeight="1">
      <c r="A37" s="15"/>
      <c r="B37" s="15"/>
      <c r="C37" s="18">
        <f>SUM(C35:C36)</f>
        <v>0</v>
      </c>
      <c r="D37" s="18">
        <f>SUM(D35:D36)</f>
        <v>0</v>
      </c>
      <c r="E37" s="18">
        <f>SUM(E35:E36)</f>
        <v>0</v>
      </c>
      <c r="F37" s="18">
        <f>SUM(F35:F36)</f>
        <v>0</v>
      </c>
      <c r="G37" s="46"/>
      <c r="H37" s="45"/>
      <c r="I37" s="15"/>
      <c r="J37" s="18">
        <f>SUM(J35:J36)</f>
        <v>0</v>
      </c>
      <c r="K37" s="18">
        <f>SUM(K35:K36)</f>
        <v>0</v>
      </c>
      <c r="L37" s="18">
        <f>SUM(L35:L36)</f>
        <v>0</v>
      </c>
      <c r="M37" s="18">
        <f>SUM(M35:M36)</f>
        <v>0</v>
      </c>
      <c r="N37" s="15"/>
      <c r="O37" s="15"/>
    </row>
    <row r="38" spans="1:15" ht="12.75">
      <c r="A38" s="15"/>
      <c r="O38" s="15"/>
    </row>
    <row r="39" spans="1:15" ht="12.75">
      <c r="A39" s="15"/>
      <c r="O39" s="15"/>
    </row>
    <row r="40" spans="1:15" ht="12.75">
      <c r="A40" s="15"/>
      <c r="O40" s="15"/>
    </row>
    <row r="41" spans="1:15" ht="12.75">
      <c r="A41" s="15"/>
      <c r="O41" s="15"/>
    </row>
    <row r="42" spans="1:15" ht="12.75">
      <c r="A42" s="15"/>
      <c r="O42" s="15"/>
    </row>
    <row r="43" spans="1:15" ht="12.75">
      <c r="A43" s="15"/>
      <c r="O43" s="15"/>
    </row>
    <row r="44" spans="1:15" ht="12.75">
      <c r="A44" s="15"/>
      <c r="O44" s="15"/>
    </row>
    <row r="45" ht="12.75">
      <c r="O45" s="15"/>
    </row>
    <row r="46" ht="12.75">
      <c r="O46" s="15"/>
    </row>
    <row r="47" ht="12.75">
      <c r="O47" s="15"/>
    </row>
    <row r="48" ht="12.75">
      <c r="O48" s="15"/>
    </row>
    <row r="49" ht="12.75">
      <c r="O49" s="15"/>
    </row>
    <row r="50" ht="12.75">
      <c r="O50" s="15"/>
    </row>
    <row r="51" ht="12.75">
      <c r="O51" s="15"/>
    </row>
    <row r="52" ht="12.75">
      <c r="O52" s="15"/>
    </row>
    <row r="53" ht="12.75">
      <c r="O53" s="15"/>
    </row>
    <row r="54" ht="12.75">
      <c r="O54" s="15"/>
    </row>
    <row r="55" ht="12.75">
      <c r="O55" s="15"/>
    </row>
    <row r="56" ht="12.75">
      <c r="O56" s="15"/>
    </row>
    <row r="57" ht="12.75">
      <c r="O57" s="15"/>
    </row>
    <row r="58" ht="12.75">
      <c r="O58" s="15"/>
    </row>
    <row r="59" ht="12.75">
      <c r="O59" s="15"/>
    </row>
    <row r="60" ht="12.75">
      <c r="O60" s="15"/>
    </row>
    <row r="61" ht="12.75">
      <c r="O61" s="15"/>
    </row>
    <row r="62" ht="12.75">
      <c r="O62" s="15"/>
    </row>
    <row r="63" ht="12.75">
      <c r="O63" s="15"/>
    </row>
    <row r="64" ht="12.75">
      <c r="O64" s="15"/>
    </row>
    <row r="65" ht="12.75">
      <c r="O65" s="15"/>
    </row>
    <row r="66" ht="12.75">
      <c r="O66" s="15"/>
    </row>
    <row r="67" ht="12.75">
      <c r="O67" s="15"/>
    </row>
    <row r="68" ht="12.75">
      <c r="O68" s="15"/>
    </row>
    <row r="69" ht="12.75">
      <c r="O69" s="15"/>
    </row>
    <row r="70" ht="12.75">
      <c r="O70" s="15"/>
    </row>
    <row r="71" ht="12.75">
      <c r="O71" s="15"/>
    </row>
    <row r="72" ht="12.75">
      <c r="O72" s="15"/>
    </row>
    <row r="73" ht="12.75">
      <c r="O73" s="15"/>
    </row>
    <row r="74" ht="12.75">
      <c r="O74" s="15"/>
    </row>
    <row r="75" ht="12.75">
      <c r="O75" s="15"/>
    </row>
    <row r="76" ht="12.75">
      <c r="O76" s="15"/>
    </row>
    <row r="77" ht="12.75">
      <c r="O77" s="15"/>
    </row>
    <row r="78" ht="12.75">
      <c r="O78" s="15"/>
    </row>
    <row r="79" ht="12.75">
      <c r="O79" s="15"/>
    </row>
    <row r="80" ht="12.75">
      <c r="O80" s="15"/>
    </row>
    <row r="81" ht="12.75">
      <c r="O81" s="15"/>
    </row>
    <row r="82" ht="12.75">
      <c r="O82" s="15"/>
    </row>
    <row r="83" ht="12.75">
      <c r="O83" s="15"/>
    </row>
    <row r="84" ht="12.75">
      <c r="O84" s="15"/>
    </row>
    <row r="85" ht="12.75">
      <c r="O85" s="15"/>
    </row>
    <row r="86" ht="12.75">
      <c r="O86" s="15"/>
    </row>
    <row r="87" ht="12.75">
      <c r="O87" s="15"/>
    </row>
    <row r="88" ht="12.75">
      <c r="O88" s="15"/>
    </row>
    <row r="89" ht="12.75">
      <c r="O89" s="15"/>
    </row>
  </sheetData>
  <sheetProtection password="CD58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Y250"/>
  <sheetViews>
    <sheetView zoomScale="75" zoomScaleNormal="75" zoomScalePageLayoutView="0" workbookViewId="0" topLeftCell="A1">
      <pane ySplit="3" topLeftCell="A4" activePane="bottomLeft" state="frozen"/>
      <selection pane="topLeft" activeCell="G27" sqref="G27"/>
      <selection pane="bottomLeft" activeCell="Y1" sqref="Y1:Y16384"/>
    </sheetView>
  </sheetViews>
  <sheetFormatPr defaultColWidth="11.421875" defaultRowHeight="12.75"/>
  <cols>
    <col min="1" max="1" width="2.57421875" style="24" customWidth="1"/>
    <col min="2" max="2" width="25.140625" style="22" customWidth="1"/>
    <col min="3" max="3" width="4.00390625" style="28" customWidth="1"/>
    <col min="4" max="4" width="9.00390625" style="42" customWidth="1"/>
    <col min="5" max="5" width="4.421875" style="28" customWidth="1"/>
    <col min="6" max="6" width="10.8515625" style="10" customWidth="1"/>
    <col min="7" max="7" width="3.7109375" style="10" customWidth="1"/>
    <col min="8" max="8" width="19.140625" style="29" customWidth="1"/>
    <col min="9" max="10" width="11.421875" style="24" hidden="1" customWidth="1"/>
    <col min="11" max="11" width="11.421875" style="25" hidden="1" customWidth="1"/>
    <col min="12" max="13" width="11.421875" style="24" hidden="1" customWidth="1"/>
    <col min="14" max="14" width="11.421875" style="25" hidden="1" customWidth="1"/>
    <col min="15" max="15" width="3.8515625" style="24" customWidth="1"/>
    <col min="16" max="16" width="27.00390625" style="24" customWidth="1"/>
    <col min="17" max="17" width="4.7109375" style="24" customWidth="1"/>
    <col min="18" max="18" width="11.421875" style="24" customWidth="1"/>
    <col min="19" max="19" width="3.421875" style="24" customWidth="1"/>
    <col min="20" max="20" width="11.28125" style="24" customWidth="1"/>
    <col min="21" max="21" width="3.140625" style="24" customWidth="1"/>
    <col min="22" max="22" width="19.8515625" style="24" bestFit="1" customWidth="1"/>
    <col min="23" max="24" width="11.421875" style="24" customWidth="1"/>
    <col min="25" max="25" width="11.421875" style="27" customWidth="1"/>
    <col min="26" max="16384" width="11.421875" style="24" customWidth="1"/>
  </cols>
  <sheetData>
    <row r="1" spans="2:22" ht="26.25">
      <c r="B1" s="336" t="s">
        <v>60</v>
      </c>
      <c r="C1" s="336"/>
      <c r="D1" s="336"/>
      <c r="E1" s="336"/>
      <c r="F1" s="336"/>
      <c r="G1" s="336"/>
      <c r="H1" s="336"/>
      <c r="P1" s="336" t="s">
        <v>61</v>
      </c>
      <c r="Q1" s="336"/>
      <c r="R1" s="336"/>
      <c r="S1" s="336"/>
      <c r="T1" s="336"/>
      <c r="U1" s="336"/>
      <c r="V1" s="336"/>
    </row>
    <row r="2" spans="2:22" ht="26.25">
      <c r="B2" s="197"/>
      <c r="C2" s="197"/>
      <c r="D2" s="197"/>
      <c r="E2" s="197"/>
      <c r="F2" s="197"/>
      <c r="G2" s="197"/>
      <c r="H2" s="197"/>
      <c r="P2" s="197"/>
      <c r="Q2" s="197"/>
      <c r="R2" s="197"/>
      <c r="S2" s="197"/>
      <c r="T2" s="197"/>
      <c r="U2" s="197"/>
      <c r="V2" s="197"/>
    </row>
    <row r="3" spans="2:25" ht="24.75" customHeight="1">
      <c r="B3" s="13" t="s">
        <v>59</v>
      </c>
      <c r="C3" s="23"/>
      <c r="D3" s="39" t="s">
        <v>43</v>
      </c>
      <c r="E3" s="23"/>
      <c r="F3" s="1" t="s">
        <v>0</v>
      </c>
      <c r="G3" s="1"/>
      <c r="H3" s="14" t="s">
        <v>1</v>
      </c>
      <c r="P3" s="13" t="s">
        <v>59</v>
      </c>
      <c r="Q3" s="23"/>
      <c r="R3" s="39" t="s">
        <v>43</v>
      </c>
      <c r="S3" s="23"/>
      <c r="T3" s="1" t="s">
        <v>0</v>
      </c>
      <c r="U3" s="1"/>
      <c r="V3" s="14" t="s">
        <v>1</v>
      </c>
      <c r="Y3" s="338" t="s">
        <v>666</v>
      </c>
    </row>
    <row r="4" spans="2:22" ht="24.75" customHeight="1">
      <c r="B4" s="31" t="s">
        <v>620</v>
      </c>
      <c r="C4" s="32">
        <v>1</v>
      </c>
      <c r="D4" s="40"/>
      <c r="E4" s="32">
        <v>1</v>
      </c>
      <c r="F4" s="33"/>
      <c r="G4" s="34">
        <v>1</v>
      </c>
      <c r="H4" s="33"/>
      <c r="P4" s="31">
        <f>+übertrag!AO15</f>
        <v>0</v>
      </c>
      <c r="Q4" s="55">
        <v>1</v>
      </c>
      <c r="R4" s="56"/>
      <c r="S4" s="55">
        <v>1</v>
      </c>
      <c r="T4" s="57"/>
      <c r="U4" s="55">
        <v>1</v>
      </c>
      <c r="V4" s="58"/>
    </row>
    <row r="5" spans="1:25" ht="14.25">
      <c r="A5" s="24" t="str">
        <f>+B5&amp;" "&amp;C5</f>
        <v>SG Stern Putzer II 2</v>
      </c>
      <c r="B5" s="63" t="str">
        <f aca="true" t="shared" si="0" ref="B5:B25">$B$4</f>
        <v>SG Stern Putzer II</v>
      </c>
      <c r="C5" s="70">
        <v>2</v>
      </c>
      <c r="D5" s="86">
        <v>17672</v>
      </c>
      <c r="E5" s="65">
        <v>2</v>
      </c>
      <c r="F5" s="232" t="s">
        <v>209</v>
      </c>
      <c r="G5" s="66">
        <v>2</v>
      </c>
      <c r="H5" s="108" t="s">
        <v>538</v>
      </c>
      <c r="O5" s="24" t="str">
        <f>+P5&amp;" "&amp;Q5</f>
        <v>0 2</v>
      </c>
      <c r="P5" s="68">
        <f aca="true" t="shared" si="1" ref="P5:P25">$P$4</f>
        <v>0</v>
      </c>
      <c r="Q5" s="72">
        <v>2</v>
      </c>
      <c r="R5" s="109">
        <f aca="true" t="shared" si="2" ref="R5:R21">VLOOKUP(O5,$A$5:$H$238,4,FALSE)</f>
        <v>0</v>
      </c>
      <c r="S5" s="73">
        <v>2</v>
      </c>
      <c r="T5" s="147">
        <f aca="true" t="shared" si="3" ref="T5:T21">VLOOKUP(O5,$A$5:$H$238,6,FALSE)</f>
        <v>0</v>
      </c>
      <c r="U5" s="74">
        <v>2</v>
      </c>
      <c r="V5" s="147">
        <f aca="true" t="shared" si="4" ref="V5:V21">VLOOKUP(O5,$A$5:$H$238,8,FALSE)</f>
        <v>0</v>
      </c>
      <c r="W5" s="24" t="e">
        <f>VLOOKUP(V5,Passnr!J:K,2,FALSE)</f>
        <v>#N/A</v>
      </c>
      <c r="X5" s="24" t="e">
        <f>IF(W5=T5,"ok","falsch")</f>
        <v>#N/A</v>
      </c>
      <c r="Y5" s="27">
        <f>+D5</f>
        <v>17672</v>
      </c>
    </row>
    <row r="6" spans="1:25" ht="14.25">
      <c r="A6" s="24" t="str">
        <f aca="true" t="shared" si="5" ref="A6:A25">+B6&amp;" "&amp;C6</f>
        <v>SG Stern Putzer II 3</v>
      </c>
      <c r="B6" s="63" t="str">
        <f t="shared" si="0"/>
        <v>SG Stern Putzer II</v>
      </c>
      <c r="C6" s="70">
        <v>3</v>
      </c>
      <c r="D6" s="62">
        <v>16996</v>
      </c>
      <c r="E6" s="70">
        <v>3</v>
      </c>
      <c r="F6" s="232" t="s">
        <v>189</v>
      </c>
      <c r="G6" s="70">
        <v>3</v>
      </c>
      <c r="H6" s="108" t="s">
        <v>86</v>
      </c>
      <c r="O6" s="24" t="str">
        <f aca="true" t="shared" si="6" ref="O6:O25">+P6&amp;" "&amp;Q6</f>
        <v>0 3</v>
      </c>
      <c r="P6" s="69">
        <f t="shared" si="1"/>
        <v>0</v>
      </c>
      <c r="Q6" s="73">
        <v>3</v>
      </c>
      <c r="R6" s="109">
        <f t="shared" si="2"/>
        <v>0</v>
      </c>
      <c r="S6" s="73">
        <v>3</v>
      </c>
      <c r="T6" s="147">
        <f t="shared" si="3"/>
        <v>0</v>
      </c>
      <c r="U6" s="74">
        <v>3</v>
      </c>
      <c r="V6" s="147">
        <f t="shared" si="4"/>
        <v>0</v>
      </c>
      <c r="W6" s="24" t="e">
        <f>VLOOKUP(V6,Passnr!J:K,2,FALSE)</f>
        <v>#N/A</v>
      </c>
      <c r="X6" s="24" t="e">
        <f aca="true" t="shared" si="7" ref="X6:X25">IF(W6=T6,"ok","falsch")</f>
        <v>#N/A</v>
      </c>
      <c r="Y6" s="27">
        <f aca="true" t="shared" si="8" ref="Y6:Y69">+D6</f>
        <v>16996</v>
      </c>
    </row>
    <row r="7" spans="1:25" ht="14.25">
      <c r="A7" s="24" t="str">
        <f t="shared" si="5"/>
        <v>SG Stern Putzer II 4</v>
      </c>
      <c r="B7" s="63" t="str">
        <f t="shared" si="0"/>
        <v>SG Stern Putzer II</v>
      </c>
      <c r="C7" s="70">
        <v>4</v>
      </c>
      <c r="D7" s="62">
        <v>21765</v>
      </c>
      <c r="E7" s="70">
        <v>4</v>
      </c>
      <c r="F7" s="232" t="s">
        <v>218</v>
      </c>
      <c r="G7" s="70">
        <v>4</v>
      </c>
      <c r="H7" s="67" t="s">
        <v>77</v>
      </c>
      <c r="O7" s="24" t="str">
        <f t="shared" si="6"/>
        <v>0 4</v>
      </c>
      <c r="P7" s="69">
        <f t="shared" si="1"/>
        <v>0</v>
      </c>
      <c r="Q7" s="73">
        <v>4</v>
      </c>
      <c r="R7" s="109">
        <f t="shared" si="2"/>
        <v>0</v>
      </c>
      <c r="S7" s="73">
        <v>4</v>
      </c>
      <c r="T7" s="147">
        <f t="shared" si="3"/>
        <v>0</v>
      </c>
      <c r="U7" s="74">
        <v>4</v>
      </c>
      <c r="V7" s="147">
        <f t="shared" si="4"/>
        <v>0</v>
      </c>
      <c r="W7" s="24" t="e">
        <f>VLOOKUP(V7,Passnr!J:K,2,FALSE)</f>
        <v>#N/A</v>
      </c>
      <c r="X7" s="24" t="e">
        <f t="shared" si="7"/>
        <v>#N/A</v>
      </c>
      <c r="Y7" s="27">
        <f t="shared" si="8"/>
        <v>21765</v>
      </c>
    </row>
    <row r="8" spans="1:25" ht="14.25">
      <c r="A8" s="24" t="str">
        <f t="shared" si="5"/>
        <v>SG Stern Putzer II 5</v>
      </c>
      <c r="B8" s="63" t="str">
        <f t="shared" si="0"/>
        <v>SG Stern Putzer II</v>
      </c>
      <c r="C8" s="70">
        <v>5</v>
      </c>
      <c r="D8" s="62">
        <v>22070</v>
      </c>
      <c r="E8" s="70">
        <v>5</v>
      </c>
      <c r="F8" s="232" t="s">
        <v>219</v>
      </c>
      <c r="G8" s="70">
        <v>5</v>
      </c>
      <c r="H8" s="67" t="s">
        <v>84</v>
      </c>
      <c r="O8" s="24" t="str">
        <f t="shared" si="6"/>
        <v>0 5</v>
      </c>
      <c r="P8" s="69">
        <f t="shared" si="1"/>
        <v>0</v>
      </c>
      <c r="Q8" s="73">
        <v>5</v>
      </c>
      <c r="R8" s="109">
        <f t="shared" si="2"/>
        <v>0</v>
      </c>
      <c r="S8" s="73">
        <v>5</v>
      </c>
      <c r="T8" s="147">
        <f t="shared" si="3"/>
        <v>0</v>
      </c>
      <c r="U8" s="74">
        <v>5</v>
      </c>
      <c r="V8" s="147">
        <f t="shared" si="4"/>
        <v>0</v>
      </c>
      <c r="W8" s="24" t="e">
        <f>VLOOKUP(V8,Passnr!J:K,2,FALSE)</f>
        <v>#N/A</v>
      </c>
      <c r="X8" s="24" t="e">
        <f t="shared" si="7"/>
        <v>#N/A</v>
      </c>
      <c r="Y8" s="27">
        <f t="shared" si="8"/>
        <v>22070</v>
      </c>
    </row>
    <row r="9" spans="1:25" ht="14.25">
      <c r="A9" s="24" t="str">
        <f t="shared" si="5"/>
        <v>SG Stern Putzer II 6</v>
      </c>
      <c r="B9" s="63" t="str">
        <f t="shared" si="0"/>
        <v>SG Stern Putzer II</v>
      </c>
      <c r="C9" s="70">
        <v>6</v>
      </c>
      <c r="D9" s="62">
        <v>20658</v>
      </c>
      <c r="E9" s="70">
        <v>6</v>
      </c>
      <c r="F9" s="232" t="s">
        <v>221</v>
      </c>
      <c r="G9" s="70">
        <v>6</v>
      </c>
      <c r="H9" s="67" t="s">
        <v>78</v>
      </c>
      <c r="O9" s="24" t="str">
        <f t="shared" si="6"/>
        <v>0 6</v>
      </c>
      <c r="P9" s="69">
        <f t="shared" si="1"/>
        <v>0</v>
      </c>
      <c r="Q9" s="73">
        <v>6</v>
      </c>
      <c r="R9" s="109">
        <f t="shared" si="2"/>
        <v>0</v>
      </c>
      <c r="S9" s="73">
        <v>6</v>
      </c>
      <c r="T9" s="147">
        <f t="shared" si="3"/>
        <v>0</v>
      </c>
      <c r="U9" s="74">
        <v>6</v>
      </c>
      <c r="V9" s="147">
        <f t="shared" si="4"/>
        <v>0</v>
      </c>
      <c r="W9" s="24" t="e">
        <f>VLOOKUP(V9,Passnr!J:K,2,FALSE)</f>
        <v>#N/A</v>
      </c>
      <c r="X9" s="24" t="e">
        <f t="shared" si="7"/>
        <v>#N/A</v>
      </c>
      <c r="Y9" s="27">
        <f t="shared" si="8"/>
        <v>20658</v>
      </c>
    </row>
    <row r="10" spans="1:25" ht="14.25">
      <c r="A10" s="24" t="str">
        <f t="shared" si="5"/>
        <v>SG Stern Putzer II 7</v>
      </c>
      <c r="B10" s="63" t="str">
        <f t="shared" si="0"/>
        <v>SG Stern Putzer II</v>
      </c>
      <c r="C10" s="70">
        <v>7</v>
      </c>
      <c r="D10" s="62">
        <v>21876</v>
      </c>
      <c r="E10" s="70">
        <v>7</v>
      </c>
      <c r="F10" s="234" t="s">
        <v>542</v>
      </c>
      <c r="G10" s="70">
        <v>7</v>
      </c>
      <c r="H10" s="108" t="s">
        <v>544</v>
      </c>
      <c r="O10" s="24" t="str">
        <f t="shared" si="6"/>
        <v>0 7</v>
      </c>
      <c r="P10" s="69">
        <f t="shared" si="1"/>
        <v>0</v>
      </c>
      <c r="Q10" s="73">
        <v>7</v>
      </c>
      <c r="R10" s="109">
        <f t="shared" si="2"/>
        <v>0</v>
      </c>
      <c r="S10" s="73">
        <v>7</v>
      </c>
      <c r="T10" s="147">
        <f t="shared" si="3"/>
        <v>0</v>
      </c>
      <c r="U10" s="74">
        <v>7</v>
      </c>
      <c r="V10" s="147">
        <f t="shared" si="4"/>
        <v>0</v>
      </c>
      <c r="W10" s="24" t="e">
        <f>VLOOKUP(V10,Passnr!J:K,2,FALSE)</f>
        <v>#N/A</v>
      </c>
      <c r="X10" s="24" t="e">
        <f t="shared" si="7"/>
        <v>#N/A</v>
      </c>
      <c r="Y10" s="27">
        <f t="shared" si="8"/>
        <v>21876</v>
      </c>
    </row>
    <row r="11" spans="1:25" ht="14.25">
      <c r="A11" s="24" t="str">
        <f t="shared" si="5"/>
        <v>SG Stern Putzer II 8</v>
      </c>
      <c r="B11" s="63" t="str">
        <f t="shared" si="0"/>
        <v>SG Stern Putzer II</v>
      </c>
      <c r="C11" s="70">
        <v>8</v>
      </c>
      <c r="D11" s="62">
        <v>13684</v>
      </c>
      <c r="E11" s="70">
        <v>8</v>
      </c>
      <c r="F11" s="232" t="s">
        <v>227</v>
      </c>
      <c r="G11" s="70">
        <v>8</v>
      </c>
      <c r="H11" s="108" t="s">
        <v>71</v>
      </c>
      <c r="O11" s="24" t="str">
        <f t="shared" si="6"/>
        <v>0 8</v>
      </c>
      <c r="P11" s="69">
        <f t="shared" si="1"/>
        <v>0</v>
      </c>
      <c r="Q11" s="73">
        <v>8</v>
      </c>
      <c r="R11" s="109">
        <f t="shared" si="2"/>
        <v>0</v>
      </c>
      <c r="S11" s="73">
        <v>8</v>
      </c>
      <c r="T11" s="147">
        <f t="shared" si="3"/>
        <v>0</v>
      </c>
      <c r="U11" s="74">
        <v>8</v>
      </c>
      <c r="V11" s="147">
        <f t="shared" si="4"/>
        <v>0</v>
      </c>
      <c r="W11" s="24" t="e">
        <f>VLOOKUP(V11,Passnr!J:K,2,FALSE)</f>
        <v>#N/A</v>
      </c>
      <c r="X11" s="24" t="e">
        <f t="shared" si="7"/>
        <v>#N/A</v>
      </c>
      <c r="Y11" s="27">
        <f t="shared" si="8"/>
        <v>13684</v>
      </c>
    </row>
    <row r="12" spans="1:25" ht="14.25">
      <c r="A12" s="24" t="str">
        <f t="shared" si="5"/>
        <v>SG Stern Putzer II 9</v>
      </c>
      <c r="B12" s="63" t="str">
        <f t="shared" si="0"/>
        <v>SG Stern Putzer II</v>
      </c>
      <c r="C12" s="70">
        <v>9</v>
      </c>
      <c r="D12" s="85">
        <v>14091</v>
      </c>
      <c r="E12" s="65">
        <v>9</v>
      </c>
      <c r="F12" s="232" t="s">
        <v>202</v>
      </c>
      <c r="G12" s="66">
        <v>9</v>
      </c>
      <c r="H12" s="108" t="s">
        <v>184</v>
      </c>
      <c r="O12" s="24" t="str">
        <f t="shared" si="6"/>
        <v>0 9</v>
      </c>
      <c r="P12" s="69">
        <f t="shared" si="1"/>
        <v>0</v>
      </c>
      <c r="Q12" s="73">
        <v>9</v>
      </c>
      <c r="R12" s="109">
        <f t="shared" si="2"/>
        <v>0</v>
      </c>
      <c r="S12" s="73">
        <v>9</v>
      </c>
      <c r="T12" s="147">
        <f t="shared" si="3"/>
        <v>0</v>
      </c>
      <c r="U12" s="74">
        <v>9</v>
      </c>
      <c r="V12" s="147">
        <f t="shared" si="4"/>
        <v>0</v>
      </c>
      <c r="W12" s="24" t="e">
        <f>VLOOKUP(V12,Passnr!J:K,2,FALSE)</f>
        <v>#N/A</v>
      </c>
      <c r="X12" s="24" t="e">
        <f t="shared" si="7"/>
        <v>#N/A</v>
      </c>
      <c r="Y12" s="27">
        <f t="shared" si="8"/>
        <v>14091</v>
      </c>
    </row>
    <row r="13" spans="1:25" ht="14.25">
      <c r="A13" s="24" t="str">
        <f t="shared" si="5"/>
        <v>SG Stern Putzer II 10</v>
      </c>
      <c r="B13" s="63" t="str">
        <f t="shared" si="0"/>
        <v>SG Stern Putzer II</v>
      </c>
      <c r="C13" s="70">
        <v>10</v>
      </c>
      <c r="D13" s="86">
        <v>16462</v>
      </c>
      <c r="E13" s="65">
        <v>10</v>
      </c>
      <c r="F13" s="232" t="s">
        <v>203</v>
      </c>
      <c r="G13" s="66">
        <v>10</v>
      </c>
      <c r="H13" s="108" t="s">
        <v>74</v>
      </c>
      <c r="O13" s="24" t="str">
        <f t="shared" si="6"/>
        <v>0 10</v>
      </c>
      <c r="P13" s="69">
        <f t="shared" si="1"/>
        <v>0</v>
      </c>
      <c r="Q13" s="73">
        <v>10</v>
      </c>
      <c r="R13" s="109">
        <f t="shared" si="2"/>
        <v>0</v>
      </c>
      <c r="S13" s="73">
        <v>10</v>
      </c>
      <c r="T13" s="147">
        <f t="shared" si="3"/>
        <v>0</v>
      </c>
      <c r="U13" s="74">
        <v>10</v>
      </c>
      <c r="V13" s="147">
        <f t="shared" si="4"/>
        <v>0</v>
      </c>
      <c r="W13" s="24" t="e">
        <f>VLOOKUP(V13,Passnr!J:K,2,FALSE)</f>
        <v>#N/A</v>
      </c>
      <c r="X13" s="24" t="e">
        <f t="shared" si="7"/>
        <v>#N/A</v>
      </c>
      <c r="Y13" s="27">
        <f t="shared" si="8"/>
        <v>16462</v>
      </c>
    </row>
    <row r="14" spans="1:25" ht="14.25">
      <c r="A14" s="24" t="str">
        <f t="shared" si="5"/>
        <v>SG Stern Putzer II 11</v>
      </c>
      <c r="B14" s="63" t="str">
        <f t="shared" si="0"/>
        <v>SG Stern Putzer II</v>
      </c>
      <c r="C14" s="70">
        <v>11</v>
      </c>
      <c r="D14" s="62">
        <v>18020</v>
      </c>
      <c r="E14" s="70">
        <v>11</v>
      </c>
      <c r="F14" s="232" t="s">
        <v>550</v>
      </c>
      <c r="G14" s="70">
        <v>11</v>
      </c>
      <c r="H14" s="108" t="s">
        <v>551</v>
      </c>
      <c r="O14" s="24" t="str">
        <f t="shared" si="6"/>
        <v>0 11</v>
      </c>
      <c r="P14" s="69">
        <f t="shared" si="1"/>
        <v>0</v>
      </c>
      <c r="Q14" s="73">
        <v>11</v>
      </c>
      <c r="R14" s="109">
        <f t="shared" si="2"/>
        <v>0</v>
      </c>
      <c r="S14" s="73">
        <v>11</v>
      </c>
      <c r="T14" s="147">
        <f t="shared" si="3"/>
        <v>0</v>
      </c>
      <c r="U14" s="74">
        <v>11</v>
      </c>
      <c r="V14" s="147">
        <f t="shared" si="4"/>
        <v>0</v>
      </c>
      <c r="W14" s="24" t="e">
        <f>VLOOKUP(V14,Passnr!J:K,2,FALSE)</f>
        <v>#N/A</v>
      </c>
      <c r="X14" s="24" t="e">
        <f t="shared" si="7"/>
        <v>#N/A</v>
      </c>
      <c r="Y14" s="27">
        <f t="shared" si="8"/>
        <v>18020</v>
      </c>
    </row>
    <row r="15" spans="1:25" ht="14.25">
      <c r="A15" s="24" t="str">
        <f t="shared" si="5"/>
        <v>SG Stern Putzer II 12</v>
      </c>
      <c r="B15" s="63" t="str">
        <f t="shared" si="0"/>
        <v>SG Stern Putzer II</v>
      </c>
      <c r="C15" s="70">
        <v>12</v>
      </c>
      <c r="D15" s="86">
        <v>22968</v>
      </c>
      <c r="E15" s="65">
        <v>12</v>
      </c>
      <c r="F15" s="232" t="s">
        <v>206</v>
      </c>
      <c r="G15" s="66">
        <v>12</v>
      </c>
      <c r="H15" s="108" t="s">
        <v>75</v>
      </c>
      <c r="O15" s="24" t="str">
        <f t="shared" si="6"/>
        <v>0 12</v>
      </c>
      <c r="P15" s="69">
        <f t="shared" si="1"/>
        <v>0</v>
      </c>
      <c r="Q15" s="73">
        <v>12</v>
      </c>
      <c r="R15" s="109">
        <f t="shared" si="2"/>
        <v>0</v>
      </c>
      <c r="S15" s="73">
        <v>12</v>
      </c>
      <c r="T15" s="147">
        <f t="shared" si="3"/>
        <v>0</v>
      </c>
      <c r="U15" s="74">
        <v>12</v>
      </c>
      <c r="V15" s="147">
        <f t="shared" si="4"/>
        <v>0</v>
      </c>
      <c r="W15" s="24" t="e">
        <f>VLOOKUP(V15,Passnr!J:K,2,FALSE)</f>
        <v>#N/A</v>
      </c>
      <c r="X15" s="24" t="e">
        <f t="shared" si="7"/>
        <v>#N/A</v>
      </c>
      <c r="Y15" s="27">
        <f t="shared" si="8"/>
        <v>22968</v>
      </c>
    </row>
    <row r="16" spans="1:25" ht="14.25">
      <c r="A16" s="24" t="str">
        <f t="shared" si="5"/>
        <v>SG Stern Putzer II 13</v>
      </c>
      <c r="B16" s="63" t="str">
        <f t="shared" si="0"/>
        <v>SG Stern Putzer II</v>
      </c>
      <c r="C16" s="70">
        <v>13</v>
      </c>
      <c r="D16" s="86">
        <v>18066</v>
      </c>
      <c r="E16" s="70">
        <v>13</v>
      </c>
      <c r="F16" s="232" t="s">
        <v>207</v>
      </c>
      <c r="G16" s="70">
        <v>13</v>
      </c>
      <c r="H16" s="108" t="s">
        <v>76</v>
      </c>
      <c r="I16" s="26">
        <v>1</v>
      </c>
      <c r="J16" s="7" t="s">
        <v>20</v>
      </c>
      <c r="K16" s="25">
        <v>1</v>
      </c>
      <c r="L16" s="24" t="s">
        <v>21</v>
      </c>
      <c r="M16" s="25">
        <v>1</v>
      </c>
      <c r="N16" s="25">
        <v>1</v>
      </c>
      <c r="O16" s="24" t="str">
        <f t="shared" si="6"/>
        <v>0 13</v>
      </c>
      <c r="P16" s="69">
        <f t="shared" si="1"/>
        <v>0</v>
      </c>
      <c r="Q16" s="73">
        <v>13</v>
      </c>
      <c r="R16" s="109">
        <f t="shared" si="2"/>
        <v>0</v>
      </c>
      <c r="S16" s="73">
        <v>13</v>
      </c>
      <c r="T16" s="147">
        <f t="shared" si="3"/>
        <v>0</v>
      </c>
      <c r="U16" s="74">
        <v>13</v>
      </c>
      <c r="V16" s="147">
        <f t="shared" si="4"/>
        <v>0</v>
      </c>
      <c r="W16" s="24" t="e">
        <f>VLOOKUP(V16,Passnr!J:K,2,FALSE)</f>
        <v>#N/A</v>
      </c>
      <c r="X16" s="24" t="e">
        <f t="shared" si="7"/>
        <v>#N/A</v>
      </c>
      <c r="Y16" s="27">
        <f t="shared" si="8"/>
        <v>18066</v>
      </c>
    </row>
    <row r="17" spans="1:25" ht="14.25">
      <c r="A17" s="24" t="str">
        <f t="shared" si="5"/>
        <v>SG Stern Putzer II 14</v>
      </c>
      <c r="B17" s="63" t="str">
        <f t="shared" si="0"/>
        <v>SG Stern Putzer II</v>
      </c>
      <c r="C17" s="70">
        <v>14</v>
      </c>
      <c r="D17" s="86">
        <v>24387</v>
      </c>
      <c r="E17" s="65">
        <v>14</v>
      </c>
      <c r="F17" s="232" t="s">
        <v>208</v>
      </c>
      <c r="G17" s="66">
        <v>14</v>
      </c>
      <c r="H17" s="108" t="s">
        <v>577</v>
      </c>
      <c r="I17" s="26"/>
      <c r="J17" s="7"/>
      <c r="M17" s="25"/>
      <c r="O17" s="24" t="str">
        <f t="shared" si="6"/>
        <v>0 14</v>
      </c>
      <c r="P17" s="69">
        <f t="shared" si="1"/>
        <v>0</v>
      </c>
      <c r="Q17" s="73">
        <v>14</v>
      </c>
      <c r="R17" s="109">
        <f t="shared" si="2"/>
        <v>0</v>
      </c>
      <c r="S17" s="73">
        <v>14</v>
      </c>
      <c r="T17" s="147">
        <f t="shared" si="3"/>
        <v>0</v>
      </c>
      <c r="U17" s="74">
        <v>14</v>
      </c>
      <c r="V17" s="147">
        <f t="shared" si="4"/>
        <v>0</v>
      </c>
      <c r="W17" s="24" t="e">
        <f>VLOOKUP(V17,Passnr!J:K,2,FALSE)</f>
        <v>#N/A</v>
      </c>
      <c r="X17" s="24" t="e">
        <f t="shared" si="7"/>
        <v>#N/A</v>
      </c>
      <c r="Y17" s="27">
        <f t="shared" si="8"/>
        <v>24387</v>
      </c>
    </row>
    <row r="18" spans="1:25" ht="14.25">
      <c r="A18" s="24" t="str">
        <f t="shared" si="5"/>
        <v>SG Stern Putzer II 15</v>
      </c>
      <c r="B18" s="63" t="str">
        <f t="shared" si="0"/>
        <v>SG Stern Putzer II</v>
      </c>
      <c r="C18" s="70">
        <v>15</v>
      </c>
      <c r="D18" s="62">
        <v>34053</v>
      </c>
      <c r="E18" s="70">
        <v>15</v>
      </c>
      <c r="F18" s="232" t="s">
        <v>543</v>
      </c>
      <c r="G18" s="70">
        <v>15</v>
      </c>
      <c r="H18" s="108" t="s">
        <v>545</v>
      </c>
      <c r="I18" s="26"/>
      <c r="J18" s="7"/>
      <c r="M18" s="25"/>
      <c r="O18" s="24" t="str">
        <f t="shared" si="6"/>
        <v>0 15</v>
      </c>
      <c r="P18" s="69">
        <f t="shared" si="1"/>
        <v>0</v>
      </c>
      <c r="Q18" s="73">
        <v>15</v>
      </c>
      <c r="R18" s="109">
        <f t="shared" si="2"/>
        <v>0</v>
      </c>
      <c r="S18" s="73">
        <v>15</v>
      </c>
      <c r="T18" s="147">
        <f t="shared" si="3"/>
        <v>0</v>
      </c>
      <c r="U18" s="74">
        <v>15</v>
      </c>
      <c r="V18" s="147">
        <f t="shared" si="4"/>
        <v>0</v>
      </c>
      <c r="W18" s="24" t="e">
        <f>VLOOKUP(V18,Passnr!J:K,2,FALSE)</f>
        <v>#N/A</v>
      </c>
      <c r="X18" s="24" t="e">
        <f t="shared" si="7"/>
        <v>#N/A</v>
      </c>
      <c r="Y18" s="27">
        <f t="shared" si="8"/>
        <v>34053</v>
      </c>
    </row>
    <row r="19" spans="1:25" ht="14.25">
      <c r="A19" s="24" t="str">
        <f t="shared" si="5"/>
        <v>SG Stern Putzer II 16</v>
      </c>
      <c r="B19" s="63" t="str">
        <f t="shared" si="0"/>
        <v>SG Stern Putzer II</v>
      </c>
      <c r="C19" s="70">
        <v>16</v>
      </c>
      <c r="D19" s="86">
        <v>19299</v>
      </c>
      <c r="E19" s="65">
        <v>16</v>
      </c>
      <c r="F19" s="232" t="s">
        <v>549</v>
      </c>
      <c r="G19" s="66">
        <v>16</v>
      </c>
      <c r="H19" s="108" t="s">
        <v>547</v>
      </c>
      <c r="I19" s="26"/>
      <c r="J19" s="7"/>
      <c r="M19" s="25"/>
      <c r="O19" s="24" t="str">
        <f t="shared" si="6"/>
        <v>0 16</v>
      </c>
      <c r="P19" s="69">
        <f t="shared" si="1"/>
        <v>0</v>
      </c>
      <c r="Q19" s="73">
        <v>16</v>
      </c>
      <c r="R19" s="109">
        <f t="shared" si="2"/>
        <v>0</v>
      </c>
      <c r="S19" s="73">
        <v>16</v>
      </c>
      <c r="T19" s="147">
        <f t="shared" si="3"/>
        <v>0</v>
      </c>
      <c r="U19" s="74">
        <v>16</v>
      </c>
      <c r="V19" s="147">
        <f t="shared" si="4"/>
        <v>0</v>
      </c>
      <c r="W19" s="24" t="e">
        <f>VLOOKUP(V19,Passnr!J:K,2,FALSE)</f>
        <v>#N/A</v>
      </c>
      <c r="X19" s="24" t="e">
        <f t="shared" si="7"/>
        <v>#N/A</v>
      </c>
      <c r="Y19" s="27">
        <f t="shared" si="8"/>
        <v>19299</v>
      </c>
    </row>
    <row r="20" spans="1:25" ht="14.25">
      <c r="A20" s="24" t="str">
        <f t="shared" si="5"/>
        <v>SG Stern Putzer II 17</v>
      </c>
      <c r="B20" s="63" t="str">
        <f t="shared" si="0"/>
        <v>SG Stern Putzer II</v>
      </c>
      <c r="C20" s="65">
        <v>17</v>
      </c>
      <c r="D20" s="86">
        <v>20225</v>
      </c>
      <c r="E20" s="66">
        <v>17</v>
      </c>
      <c r="F20" s="235" t="s">
        <v>240</v>
      </c>
      <c r="G20" s="66">
        <v>17</v>
      </c>
      <c r="H20" s="248" t="s">
        <v>627</v>
      </c>
      <c r="I20" s="26"/>
      <c r="J20" s="7"/>
      <c r="M20" s="25"/>
      <c r="O20" s="24" t="str">
        <f t="shared" si="6"/>
        <v>0 17</v>
      </c>
      <c r="P20" s="69">
        <f t="shared" si="1"/>
        <v>0</v>
      </c>
      <c r="Q20" s="73">
        <v>17</v>
      </c>
      <c r="R20" s="109">
        <f t="shared" si="2"/>
        <v>0</v>
      </c>
      <c r="S20" s="73">
        <v>17</v>
      </c>
      <c r="T20" s="147">
        <f t="shared" si="3"/>
        <v>0</v>
      </c>
      <c r="U20" s="74">
        <v>17</v>
      </c>
      <c r="V20" s="147">
        <f t="shared" si="4"/>
        <v>0</v>
      </c>
      <c r="W20" s="24" t="e">
        <f>VLOOKUP(V20,Passnr!J:K,2,FALSE)</f>
        <v>#N/A</v>
      </c>
      <c r="X20" s="24" t="e">
        <f t="shared" si="7"/>
        <v>#N/A</v>
      </c>
      <c r="Y20" s="27">
        <f t="shared" si="8"/>
        <v>20225</v>
      </c>
    </row>
    <row r="21" spans="1:25" ht="14.25">
      <c r="A21" s="24" t="str">
        <f t="shared" si="5"/>
        <v>SG Stern Putzer II 18</v>
      </c>
      <c r="B21" s="63" t="str">
        <f t="shared" si="0"/>
        <v>SG Stern Putzer II</v>
      </c>
      <c r="C21" s="65">
        <v>18</v>
      </c>
      <c r="D21" s="62">
        <v>32828</v>
      </c>
      <c r="E21" s="66">
        <v>18</v>
      </c>
      <c r="F21" s="75" t="s">
        <v>172</v>
      </c>
      <c r="G21" s="66">
        <v>18</v>
      </c>
      <c r="H21" s="108" t="s">
        <v>628</v>
      </c>
      <c r="I21" s="26"/>
      <c r="J21" s="7"/>
      <c r="M21" s="25"/>
      <c r="O21" s="24" t="str">
        <f t="shared" si="6"/>
        <v>0 18</v>
      </c>
      <c r="P21" s="69">
        <f t="shared" si="1"/>
        <v>0</v>
      </c>
      <c r="Q21" s="73">
        <v>18</v>
      </c>
      <c r="R21" s="109">
        <f t="shared" si="2"/>
        <v>0</v>
      </c>
      <c r="S21" s="73">
        <v>18</v>
      </c>
      <c r="T21" s="147">
        <f t="shared" si="3"/>
        <v>0</v>
      </c>
      <c r="U21" s="73">
        <v>18</v>
      </c>
      <c r="V21" s="147">
        <f t="shared" si="4"/>
        <v>0</v>
      </c>
      <c r="W21" s="24" t="e">
        <f>VLOOKUP(V21,Passnr!J:K,2,FALSE)</f>
        <v>#N/A</v>
      </c>
      <c r="X21" s="24" t="e">
        <f t="shared" si="7"/>
        <v>#N/A</v>
      </c>
      <c r="Y21" s="27">
        <f t="shared" si="8"/>
        <v>32828</v>
      </c>
    </row>
    <row r="22" spans="1:25" ht="14.25">
      <c r="A22" s="24" t="str">
        <f t="shared" si="5"/>
        <v>SG Stern Putzer II 19</v>
      </c>
      <c r="B22" s="63" t="str">
        <f t="shared" si="0"/>
        <v>SG Stern Putzer II</v>
      </c>
      <c r="C22" s="65">
        <v>19</v>
      </c>
      <c r="D22" s="86">
        <v>17409</v>
      </c>
      <c r="E22" s="66">
        <v>19</v>
      </c>
      <c r="F22" s="87" t="s">
        <v>222</v>
      </c>
      <c r="G22" s="66">
        <v>19</v>
      </c>
      <c r="H22" s="108" t="s">
        <v>667</v>
      </c>
      <c r="I22" s="26"/>
      <c r="J22" s="7"/>
      <c r="M22" s="25"/>
      <c r="O22" s="24" t="str">
        <f t="shared" si="6"/>
        <v>0 19</v>
      </c>
      <c r="P22" s="69">
        <f t="shared" si="1"/>
        <v>0</v>
      </c>
      <c r="Q22" s="73">
        <v>19</v>
      </c>
      <c r="R22" s="109">
        <f>VLOOKUP(O22,$A$5:$H$238,4,FALSE)</f>
        <v>0</v>
      </c>
      <c r="S22" s="73">
        <v>19</v>
      </c>
      <c r="T22" s="147">
        <f>VLOOKUP(O22,$A$5:$H$238,6,FALSE)</f>
        <v>0</v>
      </c>
      <c r="U22" s="73">
        <v>19</v>
      </c>
      <c r="V22" s="147">
        <f>VLOOKUP(O22,$A$5:$H$238,8,FALSE)</f>
        <v>0</v>
      </c>
      <c r="W22" s="24" t="e">
        <f>VLOOKUP(V22,Passnr!J:K,2,FALSE)</f>
        <v>#N/A</v>
      </c>
      <c r="X22" s="24" t="e">
        <f t="shared" si="7"/>
        <v>#N/A</v>
      </c>
      <c r="Y22" s="27">
        <f t="shared" si="8"/>
        <v>17409</v>
      </c>
    </row>
    <row r="23" spans="1:25" ht="14.25">
      <c r="A23" s="24" t="str">
        <f t="shared" si="5"/>
        <v>SG Stern Putzer II 20</v>
      </c>
      <c r="B23" s="63" t="str">
        <f t="shared" si="0"/>
        <v>SG Stern Putzer II</v>
      </c>
      <c r="C23" s="65">
        <v>20</v>
      </c>
      <c r="D23" s="86"/>
      <c r="E23" s="66">
        <v>20</v>
      </c>
      <c r="F23" s="87"/>
      <c r="G23" s="66">
        <v>20</v>
      </c>
      <c r="H23" s="71"/>
      <c r="I23" s="26"/>
      <c r="J23" s="7"/>
      <c r="M23" s="25"/>
      <c r="O23" s="24" t="str">
        <f t="shared" si="6"/>
        <v>0 20</v>
      </c>
      <c r="P23" s="69">
        <f t="shared" si="1"/>
        <v>0</v>
      </c>
      <c r="Q23" s="73">
        <v>20</v>
      </c>
      <c r="R23" s="109">
        <f>VLOOKUP(O23,$A$5:$H$238,4,FALSE)</f>
        <v>0</v>
      </c>
      <c r="S23" s="73">
        <v>20</v>
      </c>
      <c r="T23" s="147">
        <f>VLOOKUP(O23,$A$5:$H$238,6,FALSE)</f>
        <v>0</v>
      </c>
      <c r="U23" s="73">
        <v>20</v>
      </c>
      <c r="V23" s="147">
        <f>VLOOKUP(O23,$A$5:$H$238,8,FALSE)</f>
        <v>0</v>
      </c>
      <c r="W23" s="24" t="e">
        <f>VLOOKUP(V23,Passnr!J:K,2,FALSE)</f>
        <v>#N/A</v>
      </c>
      <c r="X23" s="24" t="e">
        <f t="shared" si="7"/>
        <v>#N/A</v>
      </c>
      <c r="Y23" s="27">
        <f t="shared" si="8"/>
        <v>0</v>
      </c>
    </row>
    <row r="24" spans="1:25" ht="14.25">
      <c r="A24" s="110" t="str">
        <f t="shared" si="5"/>
        <v>SG Stern Putzer II 21</v>
      </c>
      <c r="B24" s="63" t="str">
        <f t="shared" si="0"/>
        <v>SG Stern Putzer II</v>
      </c>
      <c r="C24" s="65">
        <v>21</v>
      </c>
      <c r="D24" s="86"/>
      <c r="E24" s="66">
        <v>21</v>
      </c>
      <c r="F24" s="87"/>
      <c r="G24" s="66">
        <v>21</v>
      </c>
      <c r="H24" s="71"/>
      <c r="I24" s="26"/>
      <c r="J24" s="7"/>
      <c r="M24" s="25"/>
      <c r="O24" s="24" t="str">
        <f t="shared" si="6"/>
        <v>0 21</v>
      </c>
      <c r="P24" s="69">
        <f t="shared" si="1"/>
        <v>0</v>
      </c>
      <c r="Q24" s="73">
        <v>21</v>
      </c>
      <c r="R24" s="109">
        <f>VLOOKUP(O24,$A$5:$H$238,4,FALSE)</f>
        <v>0</v>
      </c>
      <c r="S24" s="73">
        <v>21</v>
      </c>
      <c r="T24" s="147">
        <f>VLOOKUP(O24,$A$5:$H$238,6,FALSE)</f>
        <v>0</v>
      </c>
      <c r="U24" s="73">
        <v>21</v>
      </c>
      <c r="V24" s="147">
        <f>VLOOKUP(O24,$A$5:$H$238,8,FALSE)</f>
        <v>0</v>
      </c>
      <c r="W24" s="24" t="e">
        <f>VLOOKUP(V24,Passnr!J:K,2,FALSE)</f>
        <v>#N/A</v>
      </c>
      <c r="X24" s="24" t="e">
        <f t="shared" si="7"/>
        <v>#N/A</v>
      </c>
      <c r="Y24" s="27">
        <f t="shared" si="8"/>
        <v>0</v>
      </c>
    </row>
    <row r="25" spans="1:25" ht="15" customHeight="1">
      <c r="A25" s="24" t="str">
        <f t="shared" si="5"/>
        <v>SG Stern Putzer II 22</v>
      </c>
      <c r="B25" s="63" t="str">
        <f t="shared" si="0"/>
        <v>SG Stern Putzer II</v>
      </c>
      <c r="C25" s="65">
        <v>22</v>
      </c>
      <c r="D25" s="88"/>
      <c r="E25" s="65">
        <v>22</v>
      </c>
      <c r="F25" s="64"/>
      <c r="G25" s="66">
        <v>22</v>
      </c>
      <c r="H25" s="67"/>
      <c r="I25" s="26"/>
      <c r="J25" s="7"/>
      <c r="M25" s="25"/>
      <c r="O25" s="24" t="str">
        <f t="shared" si="6"/>
        <v>0 22</v>
      </c>
      <c r="P25" s="69">
        <f t="shared" si="1"/>
        <v>0</v>
      </c>
      <c r="Q25" s="73">
        <v>22</v>
      </c>
      <c r="R25" s="109">
        <f>VLOOKUP(O25,$A$5:$H$238,4,FALSE)</f>
        <v>0</v>
      </c>
      <c r="S25" s="73">
        <v>22</v>
      </c>
      <c r="T25" s="147">
        <f>VLOOKUP(O25,$A$5:$H$238,6,FALSE)</f>
        <v>0</v>
      </c>
      <c r="U25" s="73">
        <v>22</v>
      </c>
      <c r="V25" s="147">
        <f>VLOOKUP(O25,$A$5:$H$238,8,FALSE)</f>
        <v>0</v>
      </c>
      <c r="W25" s="24" t="e">
        <f>VLOOKUP(V25,Passnr!J:K,2,FALSE)</f>
        <v>#N/A</v>
      </c>
      <c r="X25" s="24" t="e">
        <f t="shared" si="7"/>
        <v>#N/A</v>
      </c>
      <c r="Y25" s="27">
        <f t="shared" si="8"/>
        <v>0</v>
      </c>
    </row>
    <row r="26" spans="2:25" ht="24.75" customHeight="1">
      <c r="B26" s="230"/>
      <c r="C26" s="32">
        <v>1</v>
      </c>
      <c r="D26" s="40"/>
      <c r="E26" s="32">
        <v>1</v>
      </c>
      <c r="F26" s="33"/>
      <c r="G26" s="34">
        <v>1</v>
      </c>
      <c r="H26" s="33"/>
      <c r="I26" s="26">
        <v>2</v>
      </c>
      <c r="J26" s="7"/>
      <c r="K26" s="25">
        <v>2</v>
      </c>
      <c r="L26" s="24" t="s">
        <v>22</v>
      </c>
      <c r="M26" s="25">
        <v>2</v>
      </c>
      <c r="N26" s="25">
        <v>2</v>
      </c>
      <c r="P26" s="95"/>
      <c r="Q26" s="96"/>
      <c r="R26" s="97"/>
      <c r="S26" s="96"/>
      <c r="T26" s="98"/>
      <c r="U26" s="99"/>
      <c r="V26" s="100"/>
      <c r="Y26" s="27">
        <f t="shared" si="8"/>
        <v>0</v>
      </c>
    </row>
    <row r="27" spans="1:25" ht="14.25">
      <c r="A27" s="24" t="str">
        <f aca="true" t="shared" si="9" ref="A27:A92">+B27&amp;" "&amp;C27</f>
        <v>0 2</v>
      </c>
      <c r="B27" s="76">
        <f aca="true" t="shared" si="10" ref="B27:B47">$B$26</f>
        <v>0</v>
      </c>
      <c r="C27" s="70">
        <v>2</v>
      </c>
      <c r="D27" s="88"/>
      <c r="E27" s="70">
        <v>2</v>
      </c>
      <c r="F27" s="75"/>
      <c r="G27" s="70">
        <v>2</v>
      </c>
      <c r="H27" s="108"/>
      <c r="I27" s="27"/>
      <c r="K27" s="25">
        <v>3</v>
      </c>
      <c r="L27" s="24" t="s">
        <v>23</v>
      </c>
      <c r="M27" s="25">
        <v>3</v>
      </c>
      <c r="N27" s="25">
        <v>3</v>
      </c>
      <c r="P27" s="95"/>
      <c r="Q27" s="96"/>
      <c r="R27" s="97"/>
      <c r="S27" s="96"/>
      <c r="T27" s="98"/>
      <c r="U27" s="99"/>
      <c r="V27" s="100"/>
      <c r="Y27" s="27">
        <f t="shared" si="8"/>
        <v>0</v>
      </c>
    </row>
    <row r="28" spans="1:25" ht="14.25">
      <c r="A28" s="24" t="str">
        <f t="shared" si="9"/>
        <v>0 3</v>
      </c>
      <c r="B28" s="76">
        <f t="shared" si="10"/>
        <v>0</v>
      </c>
      <c r="C28" s="70">
        <v>3</v>
      </c>
      <c r="D28" s="86"/>
      <c r="E28" s="65">
        <v>3</v>
      </c>
      <c r="F28" s="87"/>
      <c r="G28" s="66">
        <v>3</v>
      </c>
      <c r="H28" s="108"/>
      <c r="I28" s="27"/>
      <c r="K28" s="25">
        <v>4</v>
      </c>
      <c r="L28" s="24" t="s">
        <v>24</v>
      </c>
      <c r="M28" s="25">
        <v>4</v>
      </c>
      <c r="N28" s="25">
        <v>4</v>
      </c>
      <c r="P28" s="95"/>
      <c r="Q28" s="96"/>
      <c r="R28" s="97"/>
      <c r="S28" s="96"/>
      <c r="T28" s="98"/>
      <c r="U28" s="99"/>
      <c r="V28" s="100"/>
      <c r="Y28" s="27">
        <f t="shared" si="8"/>
        <v>0</v>
      </c>
    </row>
    <row r="29" spans="1:25" ht="14.25">
      <c r="A29" s="24" t="str">
        <f t="shared" si="9"/>
        <v>0 4</v>
      </c>
      <c r="B29" s="76">
        <f t="shared" si="10"/>
        <v>0</v>
      </c>
      <c r="C29" s="70">
        <v>4</v>
      </c>
      <c r="D29" s="62"/>
      <c r="E29" s="70">
        <v>4</v>
      </c>
      <c r="F29" s="75"/>
      <c r="G29" s="70">
        <v>4</v>
      </c>
      <c r="H29" s="71"/>
      <c r="I29" s="27"/>
      <c r="K29" s="25">
        <v>5</v>
      </c>
      <c r="L29" s="24" t="s">
        <v>25</v>
      </c>
      <c r="M29" s="25">
        <v>5</v>
      </c>
      <c r="N29" s="25">
        <v>5</v>
      </c>
      <c r="P29" s="95"/>
      <c r="Q29" s="96"/>
      <c r="R29" s="97"/>
      <c r="S29" s="96"/>
      <c r="T29" s="98"/>
      <c r="U29" s="99"/>
      <c r="V29" s="100"/>
      <c r="Y29" s="27">
        <f t="shared" si="8"/>
        <v>0</v>
      </c>
    </row>
    <row r="30" spans="1:25" ht="14.25">
      <c r="A30" s="24" t="str">
        <f t="shared" si="9"/>
        <v>0 5</v>
      </c>
      <c r="B30" s="76">
        <f t="shared" si="10"/>
        <v>0</v>
      </c>
      <c r="C30" s="70">
        <v>5</v>
      </c>
      <c r="D30" s="62"/>
      <c r="E30" s="70">
        <v>5</v>
      </c>
      <c r="F30" s="75"/>
      <c r="G30" s="70">
        <v>5</v>
      </c>
      <c r="H30" s="71"/>
      <c r="I30" s="27"/>
      <c r="K30" s="25">
        <v>6</v>
      </c>
      <c r="L30" s="24" t="s">
        <v>26</v>
      </c>
      <c r="M30" s="25">
        <v>6</v>
      </c>
      <c r="N30" s="25">
        <v>6</v>
      </c>
      <c r="P30" s="95"/>
      <c r="Q30" s="96"/>
      <c r="R30" s="97"/>
      <c r="S30" s="96"/>
      <c r="T30" s="98"/>
      <c r="U30" s="99"/>
      <c r="V30" s="100"/>
      <c r="Y30" s="27">
        <f t="shared" si="8"/>
        <v>0</v>
      </c>
    </row>
    <row r="31" spans="1:25" ht="14.25">
      <c r="A31" s="24" t="str">
        <f t="shared" si="9"/>
        <v>0 6</v>
      </c>
      <c r="B31" s="76">
        <f t="shared" si="10"/>
        <v>0</v>
      </c>
      <c r="C31" s="70">
        <v>6</v>
      </c>
      <c r="D31" s="62"/>
      <c r="E31" s="70">
        <v>6</v>
      </c>
      <c r="F31" s="75"/>
      <c r="G31" s="70">
        <v>6</v>
      </c>
      <c r="H31" s="71"/>
      <c r="I31" s="27"/>
      <c r="K31" s="25">
        <v>7</v>
      </c>
      <c r="L31" s="24" t="s">
        <v>27</v>
      </c>
      <c r="M31" s="25">
        <v>7</v>
      </c>
      <c r="N31" s="25" t="s">
        <v>28</v>
      </c>
      <c r="P31" s="95"/>
      <c r="Q31" s="96"/>
      <c r="R31" s="97"/>
      <c r="S31" s="96"/>
      <c r="T31" s="98"/>
      <c r="U31" s="99"/>
      <c r="V31" s="100"/>
      <c r="Y31" s="27">
        <f t="shared" si="8"/>
        <v>0</v>
      </c>
    </row>
    <row r="32" spans="1:25" ht="14.25">
      <c r="A32" s="24" t="str">
        <f t="shared" si="9"/>
        <v>0 7</v>
      </c>
      <c r="B32" s="76">
        <f t="shared" si="10"/>
        <v>0</v>
      </c>
      <c r="C32" s="70">
        <v>7</v>
      </c>
      <c r="D32" s="62"/>
      <c r="E32" s="70">
        <v>7</v>
      </c>
      <c r="F32" s="75"/>
      <c r="G32" s="70">
        <v>7</v>
      </c>
      <c r="H32" s="71"/>
      <c r="K32" s="25">
        <v>8</v>
      </c>
      <c r="L32" s="24" t="s">
        <v>29</v>
      </c>
      <c r="M32" s="25">
        <v>8</v>
      </c>
      <c r="N32" s="25" t="s">
        <v>30</v>
      </c>
      <c r="P32" s="95"/>
      <c r="Q32" s="96"/>
      <c r="R32" s="97"/>
      <c r="S32" s="96"/>
      <c r="T32" s="98"/>
      <c r="U32" s="99"/>
      <c r="V32" s="100"/>
      <c r="Y32" s="27">
        <f t="shared" si="8"/>
        <v>0</v>
      </c>
    </row>
    <row r="33" spans="1:25" ht="14.25">
      <c r="A33" s="24" t="str">
        <f t="shared" si="9"/>
        <v>0 8</v>
      </c>
      <c r="B33" s="76">
        <f t="shared" si="10"/>
        <v>0</v>
      </c>
      <c r="C33" s="70">
        <v>8</v>
      </c>
      <c r="D33" s="62"/>
      <c r="E33" s="70">
        <v>8</v>
      </c>
      <c r="F33" s="64"/>
      <c r="G33" s="70">
        <v>8</v>
      </c>
      <c r="H33" s="108"/>
      <c r="K33" s="25">
        <v>9</v>
      </c>
      <c r="L33" s="24" t="s">
        <v>31</v>
      </c>
      <c r="M33" s="25">
        <v>9</v>
      </c>
      <c r="P33" s="95"/>
      <c r="Q33" s="96"/>
      <c r="R33" s="97"/>
      <c r="S33" s="96"/>
      <c r="T33" s="98"/>
      <c r="U33" s="99"/>
      <c r="V33" s="100"/>
      <c r="Y33" s="27">
        <f t="shared" si="8"/>
        <v>0</v>
      </c>
    </row>
    <row r="34" spans="1:25" ht="14.25">
      <c r="A34" s="24" t="str">
        <f t="shared" si="9"/>
        <v>0 9</v>
      </c>
      <c r="B34" s="76">
        <f t="shared" si="10"/>
        <v>0</v>
      </c>
      <c r="C34" s="70">
        <v>9</v>
      </c>
      <c r="D34" s="62"/>
      <c r="E34" s="70">
        <v>9</v>
      </c>
      <c r="F34" s="64"/>
      <c r="G34" s="70">
        <v>9</v>
      </c>
      <c r="H34" s="108"/>
      <c r="K34" s="25">
        <v>10</v>
      </c>
      <c r="L34" s="24" t="s">
        <v>32</v>
      </c>
      <c r="O34" s="110"/>
      <c r="P34" s="95"/>
      <c r="Q34" s="96"/>
      <c r="R34" s="97"/>
      <c r="S34" s="96"/>
      <c r="T34" s="98"/>
      <c r="U34" s="99"/>
      <c r="V34" s="100"/>
      <c r="Y34" s="27">
        <f t="shared" si="8"/>
        <v>0</v>
      </c>
    </row>
    <row r="35" spans="1:25" ht="14.25">
      <c r="A35" s="24" t="str">
        <f t="shared" si="9"/>
        <v>0 10</v>
      </c>
      <c r="B35" s="76">
        <f t="shared" si="10"/>
        <v>0</v>
      </c>
      <c r="C35" s="70">
        <v>10</v>
      </c>
      <c r="D35" s="86"/>
      <c r="E35" s="65">
        <v>10</v>
      </c>
      <c r="F35" s="87"/>
      <c r="G35" s="66">
        <v>10</v>
      </c>
      <c r="H35" s="108"/>
      <c r="K35" s="25">
        <v>11</v>
      </c>
      <c r="L35" s="24" t="s">
        <v>33</v>
      </c>
      <c r="P35" s="95"/>
      <c r="Q35" s="96"/>
      <c r="R35" s="97"/>
      <c r="S35" s="96"/>
      <c r="T35" s="98"/>
      <c r="U35" s="99"/>
      <c r="V35" s="100"/>
      <c r="Y35" s="27">
        <f t="shared" si="8"/>
        <v>0</v>
      </c>
    </row>
    <row r="36" spans="1:25" ht="14.25">
      <c r="A36" s="24" t="str">
        <f t="shared" si="9"/>
        <v>0 11</v>
      </c>
      <c r="B36" s="76">
        <f t="shared" si="10"/>
        <v>0</v>
      </c>
      <c r="C36" s="70">
        <v>11</v>
      </c>
      <c r="D36" s="62"/>
      <c r="E36" s="70">
        <v>11</v>
      </c>
      <c r="F36" s="64"/>
      <c r="G36" s="70">
        <v>11</v>
      </c>
      <c r="H36" s="108"/>
      <c r="K36" s="25">
        <v>12</v>
      </c>
      <c r="L36" s="24" t="s">
        <v>34</v>
      </c>
      <c r="P36" s="95"/>
      <c r="Q36" s="96"/>
      <c r="R36" s="97"/>
      <c r="S36" s="96"/>
      <c r="T36" s="98"/>
      <c r="U36" s="99"/>
      <c r="V36" s="100"/>
      <c r="Y36" s="27">
        <f t="shared" si="8"/>
        <v>0</v>
      </c>
    </row>
    <row r="37" spans="1:25" ht="14.25">
      <c r="A37" s="24" t="str">
        <f t="shared" si="9"/>
        <v>0 12</v>
      </c>
      <c r="B37" s="76">
        <f t="shared" si="10"/>
        <v>0</v>
      </c>
      <c r="C37" s="70">
        <v>12</v>
      </c>
      <c r="D37" s="62"/>
      <c r="E37" s="70">
        <v>12</v>
      </c>
      <c r="F37" s="75"/>
      <c r="G37" s="70">
        <v>12</v>
      </c>
      <c r="H37" s="71"/>
      <c r="K37" s="25">
        <v>13</v>
      </c>
      <c r="P37" s="95"/>
      <c r="Q37" s="96"/>
      <c r="R37" s="97"/>
      <c r="S37" s="96"/>
      <c r="T37" s="98"/>
      <c r="U37" s="99"/>
      <c r="V37" s="100"/>
      <c r="Y37" s="27">
        <f t="shared" si="8"/>
        <v>0</v>
      </c>
    </row>
    <row r="38" spans="1:25" ht="14.25">
      <c r="A38" s="24" t="str">
        <f t="shared" si="9"/>
        <v>0 13</v>
      </c>
      <c r="B38" s="76">
        <f t="shared" si="10"/>
        <v>0</v>
      </c>
      <c r="C38" s="70">
        <v>13</v>
      </c>
      <c r="D38" s="62"/>
      <c r="E38" s="70">
        <v>13</v>
      </c>
      <c r="F38" s="75"/>
      <c r="G38" s="70">
        <v>13</v>
      </c>
      <c r="H38" s="71"/>
      <c r="P38" s="95"/>
      <c r="Q38" s="96"/>
      <c r="R38" s="97"/>
      <c r="S38" s="96"/>
      <c r="T38" s="98"/>
      <c r="U38" s="99"/>
      <c r="V38" s="100"/>
      <c r="Y38" s="27">
        <f t="shared" si="8"/>
        <v>0</v>
      </c>
    </row>
    <row r="39" spans="1:25" ht="14.25">
      <c r="A39" s="24" t="str">
        <f t="shared" si="9"/>
        <v>0 14</v>
      </c>
      <c r="B39" s="76">
        <f t="shared" si="10"/>
        <v>0</v>
      </c>
      <c r="C39" s="70">
        <v>14</v>
      </c>
      <c r="D39" s="62"/>
      <c r="E39" s="70">
        <v>14</v>
      </c>
      <c r="F39" s="75"/>
      <c r="G39" s="70">
        <v>14</v>
      </c>
      <c r="H39" s="71"/>
      <c r="P39" s="95"/>
      <c r="Q39" s="96"/>
      <c r="R39" s="97"/>
      <c r="S39" s="96"/>
      <c r="T39" s="98"/>
      <c r="U39" s="99"/>
      <c r="V39" s="100"/>
      <c r="Y39" s="27">
        <f t="shared" si="8"/>
        <v>0</v>
      </c>
    </row>
    <row r="40" spans="1:25" ht="14.25">
      <c r="A40" s="24" t="str">
        <f t="shared" si="9"/>
        <v>0 15</v>
      </c>
      <c r="B40" s="76">
        <f t="shared" si="10"/>
        <v>0</v>
      </c>
      <c r="C40" s="70">
        <v>15</v>
      </c>
      <c r="D40" s="62"/>
      <c r="E40" s="70">
        <v>15</v>
      </c>
      <c r="F40" s="75"/>
      <c r="G40" s="70">
        <v>15</v>
      </c>
      <c r="H40" s="71"/>
      <c r="P40" s="95"/>
      <c r="Q40" s="96"/>
      <c r="R40" s="97"/>
      <c r="S40" s="96"/>
      <c r="T40" s="98"/>
      <c r="U40" s="99"/>
      <c r="V40" s="100"/>
      <c r="Y40" s="27">
        <f t="shared" si="8"/>
        <v>0</v>
      </c>
    </row>
    <row r="41" spans="1:25" ht="14.25">
      <c r="A41" s="24" t="str">
        <f t="shared" si="9"/>
        <v>0 16</v>
      </c>
      <c r="B41" s="76">
        <f t="shared" si="10"/>
        <v>0</v>
      </c>
      <c r="C41" s="70">
        <v>16</v>
      </c>
      <c r="D41" s="62"/>
      <c r="E41" s="70">
        <v>16</v>
      </c>
      <c r="F41" s="75"/>
      <c r="G41" s="70">
        <v>16</v>
      </c>
      <c r="H41" s="71"/>
      <c r="P41" s="95"/>
      <c r="Q41" s="96"/>
      <c r="R41" s="97"/>
      <c r="S41" s="96"/>
      <c r="T41" s="98"/>
      <c r="U41" s="99"/>
      <c r="V41" s="100"/>
      <c r="Y41" s="27">
        <f t="shared" si="8"/>
        <v>0</v>
      </c>
    </row>
    <row r="42" spans="1:25" ht="14.25">
      <c r="A42" s="24" t="str">
        <f t="shared" si="9"/>
        <v>0 17</v>
      </c>
      <c r="B42" s="76">
        <f t="shared" si="10"/>
        <v>0</v>
      </c>
      <c r="C42" s="70">
        <v>17</v>
      </c>
      <c r="D42" s="62"/>
      <c r="E42" s="70">
        <v>17</v>
      </c>
      <c r="F42" s="75"/>
      <c r="G42" s="70">
        <v>17</v>
      </c>
      <c r="H42" s="71"/>
      <c r="P42" s="95"/>
      <c r="Q42" s="96"/>
      <c r="R42" s="97"/>
      <c r="S42" s="96"/>
      <c r="T42" s="98"/>
      <c r="U42" s="99"/>
      <c r="V42" s="100"/>
      <c r="Y42" s="27">
        <f t="shared" si="8"/>
        <v>0</v>
      </c>
    </row>
    <row r="43" spans="1:25" ht="14.25">
      <c r="A43" s="24" t="str">
        <f t="shared" si="9"/>
        <v>0 18</v>
      </c>
      <c r="B43" s="76">
        <f t="shared" si="10"/>
        <v>0</v>
      </c>
      <c r="C43" s="70">
        <v>18</v>
      </c>
      <c r="D43" s="62"/>
      <c r="E43" s="70">
        <v>18</v>
      </c>
      <c r="F43" s="75"/>
      <c r="G43" s="70">
        <v>18</v>
      </c>
      <c r="H43" s="71"/>
      <c r="P43" s="95"/>
      <c r="Q43" s="96"/>
      <c r="R43" s="97"/>
      <c r="S43" s="96"/>
      <c r="T43" s="98"/>
      <c r="U43" s="99"/>
      <c r="V43" s="100"/>
      <c r="Y43" s="27">
        <f t="shared" si="8"/>
        <v>0</v>
      </c>
    </row>
    <row r="44" spans="1:25" ht="14.25">
      <c r="A44" s="24" t="str">
        <f t="shared" si="9"/>
        <v>0 19</v>
      </c>
      <c r="B44" s="76">
        <f t="shared" si="10"/>
        <v>0</v>
      </c>
      <c r="C44" s="70">
        <v>19</v>
      </c>
      <c r="D44" s="62"/>
      <c r="E44" s="70">
        <v>19</v>
      </c>
      <c r="F44" s="75"/>
      <c r="G44" s="70">
        <v>19</v>
      </c>
      <c r="H44" s="71"/>
      <c r="P44" s="95"/>
      <c r="Q44" s="96"/>
      <c r="R44" s="97"/>
      <c r="S44" s="96"/>
      <c r="T44" s="98"/>
      <c r="U44" s="99"/>
      <c r="V44" s="100"/>
      <c r="Y44" s="27">
        <f t="shared" si="8"/>
        <v>0</v>
      </c>
    </row>
    <row r="45" spans="1:25" ht="14.25">
      <c r="A45" s="24" t="str">
        <f t="shared" si="9"/>
        <v>0 20</v>
      </c>
      <c r="B45" s="76">
        <f t="shared" si="10"/>
        <v>0</v>
      </c>
      <c r="C45" s="70">
        <v>20</v>
      </c>
      <c r="D45" s="62"/>
      <c r="E45" s="70">
        <v>20</v>
      </c>
      <c r="F45" s="75"/>
      <c r="G45" s="70">
        <v>20</v>
      </c>
      <c r="H45" s="71"/>
      <c r="P45" s="95"/>
      <c r="Q45" s="101"/>
      <c r="R45" s="97"/>
      <c r="S45" s="101"/>
      <c r="T45" s="98"/>
      <c r="U45" s="102"/>
      <c r="V45" s="100"/>
      <c r="Y45" s="27">
        <f t="shared" si="8"/>
        <v>0</v>
      </c>
    </row>
    <row r="46" spans="2:25" ht="14.25">
      <c r="B46" s="76">
        <f t="shared" si="10"/>
        <v>0</v>
      </c>
      <c r="C46" s="70">
        <v>21</v>
      </c>
      <c r="D46" s="62"/>
      <c r="E46" s="70">
        <v>21</v>
      </c>
      <c r="F46" s="75"/>
      <c r="G46" s="70">
        <v>21</v>
      </c>
      <c r="H46" s="71"/>
      <c r="P46" s="95"/>
      <c r="Q46" s="101"/>
      <c r="R46" s="97"/>
      <c r="S46" s="101"/>
      <c r="T46" s="98"/>
      <c r="U46" s="102"/>
      <c r="V46" s="100"/>
      <c r="Y46" s="27">
        <f t="shared" si="8"/>
        <v>0</v>
      </c>
    </row>
    <row r="47" spans="1:25" ht="14.25">
      <c r="A47" s="24" t="str">
        <f t="shared" si="9"/>
        <v>0 22</v>
      </c>
      <c r="B47" s="76">
        <f t="shared" si="10"/>
        <v>0</v>
      </c>
      <c r="C47" s="70">
        <v>22</v>
      </c>
      <c r="D47" s="62"/>
      <c r="E47" s="70">
        <v>22</v>
      </c>
      <c r="F47" s="75"/>
      <c r="G47" s="70">
        <v>22</v>
      </c>
      <c r="H47" s="71"/>
      <c r="Y47" s="27">
        <f t="shared" si="8"/>
        <v>0</v>
      </c>
    </row>
    <row r="48" spans="2:25" ht="24.75" customHeight="1">
      <c r="B48" s="31" t="s">
        <v>626</v>
      </c>
      <c r="C48" s="32">
        <v>1</v>
      </c>
      <c r="D48" s="40"/>
      <c r="E48" s="32">
        <v>1</v>
      </c>
      <c r="F48" s="33"/>
      <c r="G48" s="34">
        <v>1</v>
      </c>
      <c r="H48" s="33"/>
      <c r="Y48" s="27">
        <f t="shared" si="8"/>
        <v>0</v>
      </c>
    </row>
    <row r="49" spans="1:25" ht="14.25">
      <c r="A49" s="24" t="str">
        <f t="shared" si="9"/>
        <v>SG Stern Putzer I 2</v>
      </c>
      <c r="B49" s="63" t="str">
        <f aca="true" t="shared" si="11" ref="B49:B68">$B$48</f>
        <v>SG Stern Putzer I</v>
      </c>
      <c r="C49" s="70">
        <v>2</v>
      </c>
      <c r="D49" s="86">
        <v>17672</v>
      </c>
      <c r="E49" s="65">
        <v>2</v>
      </c>
      <c r="F49" s="232" t="s">
        <v>209</v>
      </c>
      <c r="G49" s="66">
        <v>2</v>
      </c>
      <c r="H49" s="108" t="s">
        <v>538</v>
      </c>
      <c r="W49" s="24" t="str">
        <f>VLOOKUP(H49,Passnr!J:K,2,FALSE)</f>
        <v>D092043</v>
      </c>
      <c r="X49" s="24" t="str">
        <f>IF(W49=F49,"ok","falsch")</f>
        <v>ok</v>
      </c>
      <c r="Y49" s="27">
        <f t="shared" si="8"/>
        <v>17672</v>
      </c>
    </row>
    <row r="50" spans="1:25" ht="14.25">
      <c r="A50" s="24" t="str">
        <f t="shared" si="9"/>
        <v>SG Stern Putzer I 3</v>
      </c>
      <c r="B50" s="63" t="str">
        <f t="shared" si="11"/>
        <v>SG Stern Putzer I</v>
      </c>
      <c r="C50" s="70">
        <v>3</v>
      </c>
      <c r="D50" s="62">
        <v>16996</v>
      </c>
      <c r="E50" s="70">
        <v>3</v>
      </c>
      <c r="F50" s="232" t="s">
        <v>189</v>
      </c>
      <c r="G50" s="70">
        <v>3</v>
      </c>
      <c r="H50" s="108" t="s">
        <v>86</v>
      </c>
      <c r="W50" s="24" t="str">
        <f>VLOOKUP(H50,Passnr!J:K,2,FALSE)</f>
        <v>D059001</v>
      </c>
      <c r="X50" s="24" t="str">
        <f aca="true" t="shared" si="12" ref="X50:X63">IF(W50=F50,"ok","falsch")</f>
        <v>ok</v>
      </c>
      <c r="Y50" s="27">
        <f t="shared" si="8"/>
        <v>16996</v>
      </c>
    </row>
    <row r="51" spans="1:25" ht="14.25">
      <c r="A51" s="24" t="str">
        <f t="shared" si="9"/>
        <v>SG Stern Putzer I 4</v>
      </c>
      <c r="B51" s="63" t="str">
        <f t="shared" si="11"/>
        <v>SG Stern Putzer I</v>
      </c>
      <c r="C51" s="70">
        <v>4</v>
      </c>
      <c r="D51" s="62">
        <v>21765</v>
      </c>
      <c r="E51" s="70">
        <v>4</v>
      </c>
      <c r="F51" s="232" t="s">
        <v>218</v>
      </c>
      <c r="G51" s="70">
        <v>4</v>
      </c>
      <c r="H51" s="67" t="s">
        <v>77</v>
      </c>
      <c r="W51" s="24" t="str">
        <f>VLOOKUP(H51,Passnr!J:K,2,FALSE)</f>
        <v>D120101</v>
      </c>
      <c r="X51" s="24" t="str">
        <f t="shared" si="12"/>
        <v>ok</v>
      </c>
      <c r="Y51" s="27">
        <f t="shared" si="8"/>
        <v>21765</v>
      </c>
    </row>
    <row r="52" spans="1:25" ht="14.25">
      <c r="A52" s="24" t="str">
        <f t="shared" si="9"/>
        <v>SG Stern Putzer I 5</v>
      </c>
      <c r="B52" s="63" t="str">
        <f t="shared" si="11"/>
        <v>SG Stern Putzer I</v>
      </c>
      <c r="C52" s="70">
        <v>5</v>
      </c>
      <c r="D52" s="62">
        <v>22070</v>
      </c>
      <c r="E52" s="70">
        <v>5</v>
      </c>
      <c r="F52" s="232" t="s">
        <v>219</v>
      </c>
      <c r="G52" s="70">
        <v>5</v>
      </c>
      <c r="H52" s="67" t="s">
        <v>84</v>
      </c>
      <c r="W52" s="24" t="str">
        <f>VLOOKUP(H52,Passnr!J:K,2,FALSE)</f>
        <v>D120122</v>
      </c>
      <c r="X52" s="24" t="str">
        <f t="shared" si="12"/>
        <v>ok</v>
      </c>
      <c r="Y52" s="27">
        <f t="shared" si="8"/>
        <v>22070</v>
      </c>
    </row>
    <row r="53" spans="1:25" ht="14.25">
      <c r="A53" s="24" t="str">
        <f t="shared" si="9"/>
        <v>SG Stern Putzer I 6</v>
      </c>
      <c r="B53" s="63" t="str">
        <f t="shared" si="11"/>
        <v>SG Stern Putzer I</v>
      </c>
      <c r="C53" s="70">
        <v>6</v>
      </c>
      <c r="D53" s="62">
        <v>20658</v>
      </c>
      <c r="E53" s="70">
        <v>6</v>
      </c>
      <c r="F53" s="232" t="s">
        <v>221</v>
      </c>
      <c r="G53" s="70">
        <v>6</v>
      </c>
      <c r="H53" s="67" t="s">
        <v>78</v>
      </c>
      <c r="W53" s="24" t="str">
        <f>VLOOKUP(H53,Passnr!J:K,2,FALSE)</f>
        <v>D120115</v>
      </c>
      <c r="X53" s="24" t="str">
        <f t="shared" si="12"/>
        <v>ok</v>
      </c>
      <c r="Y53" s="27">
        <f t="shared" si="8"/>
        <v>20658</v>
      </c>
    </row>
    <row r="54" spans="1:25" ht="14.25">
      <c r="A54" s="24" t="str">
        <f t="shared" si="9"/>
        <v>SG Stern Putzer I 7</v>
      </c>
      <c r="B54" s="63" t="str">
        <f t="shared" si="11"/>
        <v>SG Stern Putzer I</v>
      </c>
      <c r="C54" s="70">
        <v>7</v>
      </c>
      <c r="D54" s="62">
        <v>21876</v>
      </c>
      <c r="E54" s="70">
        <v>7</v>
      </c>
      <c r="F54" s="234" t="s">
        <v>542</v>
      </c>
      <c r="G54" s="70">
        <v>7</v>
      </c>
      <c r="H54" s="108" t="s">
        <v>544</v>
      </c>
      <c r="W54" s="24" t="str">
        <f>VLOOKUP(H54,Passnr!J:K,2,FALSE)</f>
        <v>D120146</v>
      </c>
      <c r="X54" s="24" t="str">
        <f t="shared" si="12"/>
        <v>ok</v>
      </c>
      <c r="Y54" s="27">
        <f t="shared" si="8"/>
        <v>21876</v>
      </c>
    </row>
    <row r="55" spans="1:25" ht="14.25">
      <c r="A55" s="24" t="str">
        <f t="shared" si="9"/>
        <v>SG Stern Putzer I 8</v>
      </c>
      <c r="B55" s="63" t="str">
        <f t="shared" si="11"/>
        <v>SG Stern Putzer I</v>
      </c>
      <c r="C55" s="70">
        <v>8</v>
      </c>
      <c r="D55" s="62">
        <v>13684</v>
      </c>
      <c r="E55" s="70">
        <v>8</v>
      </c>
      <c r="F55" s="232" t="s">
        <v>227</v>
      </c>
      <c r="G55" s="70">
        <v>8</v>
      </c>
      <c r="H55" s="108" t="s">
        <v>71</v>
      </c>
      <c r="W55" s="24" t="str">
        <f>VLOOKUP(H55,Passnr!J:K,2,FALSE)</f>
        <v>D120128</v>
      </c>
      <c r="X55" s="24" t="str">
        <f t="shared" si="12"/>
        <v>ok</v>
      </c>
      <c r="Y55" s="27">
        <f t="shared" si="8"/>
        <v>13684</v>
      </c>
    </row>
    <row r="56" spans="1:25" ht="14.25">
      <c r="A56" s="24" t="str">
        <f t="shared" si="9"/>
        <v>SG Stern Putzer I 9</v>
      </c>
      <c r="B56" s="63" t="str">
        <f t="shared" si="11"/>
        <v>SG Stern Putzer I</v>
      </c>
      <c r="C56" s="70">
        <v>9</v>
      </c>
      <c r="D56" s="85">
        <v>14091</v>
      </c>
      <c r="E56" s="65">
        <v>9</v>
      </c>
      <c r="F56" s="232" t="s">
        <v>202</v>
      </c>
      <c r="G56" s="66">
        <v>9</v>
      </c>
      <c r="H56" s="108" t="s">
        <v>184</v>
      </c>
      <c r="W56" s="24" t="str">
        <f>VLOOKUP(H56,Passnr!J:K,2,FALSE)</f>
        <v>D120134</v>
      </c>
      <c r="X56" s="24" t="str">
        <f t="shared" si="12"/>
        <v>ok</v>
      </c>
      <c r="Y56" s="27">
        <f t="shared" si="8"/>
        <v>14091</v>
      </c>
    </row>
    <row r="57" spans="1:25" ht="14.25">
      <c r="A57" s="24" t="str">
        <f t="shared" si="9"/>
        <v>SG Stern Putzer I 10</v>
      </c>
      <c r="B57" s="63" t="str">
        <f t="shared" si="11"/>
        <v>SG Stern Putzer I</v>
      </c>
      <c r="C57" s="70">
        <v>10</v>
      </c>
      <c r="D57" s="86">
        <v>16462</v>
      </c>
      <c r="E57" s="65">
        <v>10</v>
      </c>
      <c r="F57" s="232" t="s">
        <v>203</v>
      </c>
      <c r="G57" s="66">
        <v>10</v>
      </c>
      <c r="H57" s="108" t="s">
        <v>74</v>
      </c>
      <c r="W57" s="24" t="str">
        <f>VLOOKUP(H57,Passnr!J:K,2,FALSE)</f>
        <v>D120103</v>
      </c>
      <c r="X57" s="24" t="str">
        <f t="shared" si="12"/>
        <v>ok</v>
      </c>
      <c r="Y57" s="27">
        <f t="shared" si="8"/>
        <v>16462</v>
      </c>
    </row>
    <row r="58" spans="1:25" ht="14.25">
      <c r="A58" s="24" t="str">
        <f t="shared" si="9"/>
        <v>SG Stern Putzer I 11</v>
      </c>
      <c r="B58" s="63" t="str">
        <f t="shared" si="11"/>
        <v>SG Stern Putzer I</v>
      </c>
      <c r="C58" s="70">
        <v>11</v>
      </c>
      <c r="D58" s="62">
        <v>18020</v>
      </c>
      <c r="E58" s="70">
        <v>11</v>
      </c>
      <c r="F58" s="232" t="s">
        <v>550</v>
      </c>
      <c r="G58" s="70">
        <v>11</v>
      </c>
      <c r="H58" s="108" t="s">
        <v>551</v>
      </c>
      <c r="W58" s="24" t="str">
        <f>VLOOKUP(H58,Passnr!J:K,2,FALSE)</f>
        <v>D120154</v>
      </c>
      <c r="X58" s="24" t="str">
        <f t="shared" si="12"/>
        <v>ok</v>
      </c>
      <c r="Y58" s="27">
        <f t="shared" si="8"/>
        <v>18020</v>
      </c>
    </row>
    <row r="59" spans="1:25" ht="14.25">
      <c r="A59" s="24" t="str">
        <f t="shared" si="9"/>
        <v>SG Stern Putzer I 12</v>
      </c>
      <c r="B59" s="63" t="str">
        <f t="shared" si="11"/>
        <v>SG Stern Putzer I</v>
      </c>
      <c r="C59" s="70">
        <v>12</v>
      </c>
      <c r="D59" s="86">
        <v>22968</v>
      </c>
      <c r="E59" s="65">
        <v>12</v>
      </c>
      <c r="F59" s="232" t="s">
        <v>206</v>
      </c>
      <c r="G59" s="66">
        <v>12</v>
      </c>
      <c r="H59" s="108" t="s">
        <v>75</v>
      </c>
      <c r="W59" s="24" t="str">
        <f>VLOOKUP(H59,Passnr!J:K,2,FALSE)</f>
        <v>D120131</v>
      </c>
      <c r="X59" s="24" t="str">
        <f t="shared" si="12"/>
        <v>ok</v>
      </c>
      <c r="Y59" s="27">
        <f t="shared" si="8"/>
        <v>22968</v>
      </c>
    </row>
    <row r="60" spans="1:25" ht="14.25">
      <c r="A60" s="24" t="str">
        <f t="shared" si="9"/>
        <v>SG Stern Putzer I 13</v>
      </c>
      <c r="B60" s="63" t="str">
        <f t="shared" si="11"/>
        <v>SG Stern Putzer I</v>
      </c>
      <c r="C60" s="70">
        <v>13</v>
      </c>
      <c r="D60" s="86">
        <v>18066</v>
      </c>
      <c r="E60" s="70">
        <v>13</v>
      </c>
      <c r="F60" s="232" t="s">
        <v>207</v>
      </c>
      <c r="G60" s="70">
        <v>13</v>
      </c>
      <c r="H60" s="108" t="s">
        <v>76</v>
      </c>
      <c r="W60" s="24" t="str">
        <f>VLOOKUP(H60,Passnr!J:K,2,FALSE)</f>
        <v>D120118</v>
      </c>
      <c r="X60" s="24" t="str">
        <f t="shared" si="12"/>
        <v>ok</v>
      </c>
      <c r="Y60" s="27">
        <f t="shared" si="8"/>
        <v>18066</v>
      </c>
    </row>
    <row r="61" spans="1:25" ht="14.25">
      <c r="A61" s="24" t="str">
        <f t="shared" si="9"/>
        <v>SG Stern Putzer I 14</v>
      </c>
      <c r="B61" s="63" t="str">
        <f t="shared" si="11"/>
        <v>SG Stern Putzer I</v>
      </c>
      <c r="C61" s="70">
        <v>14</v>
      </c>
      <c r="D61" s="86">
        <v>24387</v>
      </c>
      <c r="E61" s="65">
        <v>14</v>
      </c>
      <c r="F61" s="232" t="s">
        <v>208</v>
      </c>
      <c r="G61" s="66">
        <v>14</v>
      </c>
      <c r="H61" s="108" t="s">
        <v>577</v>
      </c>
      <c r="W61" s="24" t="str">
        <f>VLOOKUP(H61,Passnr!J:K,2,FALSE)</f>
        <v>D120132</v>
      </c>
      <c r="X61" s="24" t="str">
        <f t="shared" si="12"/>
        <v>ok</v>
      </c>
      <c r="Y61" s="27">
        <f t="shared" si="8"/>
        <v>24387</v>
      </c>
    </row>
    <row r="62" spans="1:25" ht="14.25">
      <c r="A62" s="24" t="str">
        <f t="shared" si="9"/>
        <v>SG Stern Putzer I 15</v>
      </c>
      <c r="B62" s="63" t="str">
        <f t="shared" si="11"/>
        <v>SG Stern Putzer I</v>
      </c>
      <c r="C62" s="70">
        <v>15</v>
      </c>
      <c r="D62" s="62">
        <v>34053</v>
      </c>
      <c r="E62" s="70">
        <v>15</v>
      </c>
      <c r="F62" s="232" t="s">
        <v>543</v>
      </c>
      <c r="G62" s="70">
        <v>15</v>
      </c>
      <c r="H62" s="108" t="s">
        <v>545</v>
      </c>
      <c r="W62" s="24" t="str">
        <f>VLOOKUP(H62,Passnr!J:K,2,FALSE)</f>
        <v>D120145</v>
      </c>
      <c r="X62" s="24" t="str">
        <f t="shared" si="12"/>
        <v>ok</v>
      </c>
      <c r="Y62" s="27">
        <f t="shared" si="8"/>
        <v>34053</v>
      </c>
    </row>
    <row r="63" spans="1:25" ht="14.25">
      <c r="A63" s="24" t="str">
        <f t="shared" si="9"/>
        <v>SG Stern Putzer I 16</v>
      </c>
      <c r="B63" s="63" t="str">
        <f t="shared" si="11"/>
        <v>SG Stern Putzer I</v>
      </c>
      <c r="C63" s="70">
        <v>16</v>
      </c>
      <c r="D63" s="86">
        <v>19299</v>
      </c>
      <c r="E63" s="65">
        <v>16</v>
      </c>
      <c r="F63" s="232" t="s">
        <v>549</v>
      </c>
      <c r="G63" s="66">
        <v>16</v>
      </c>
      <c r="H63" s="108" t="s">
        <v>547</v>
      </c>
      <c r="W63" s="24" t="str">
        <f>VLOOKUP(H63,Passnr!J:K,2,FALSE)</f>
        <v>D120152</v>
      </c>
      <c r="X63" s="24" t="str">
        <f t="shared" si="12"/>
        <v>ok</v>
      </c>
      <c r="Y63" s="27">
        <f t="shared" si="8"/>
        <v>19299</v>
      </c>
    </row>
    <row r="64" spans="1:25" ht="14.25">
      <c r="A64" s="24" t="str">
        <f t="shared" si="9"/>
        <v>SG Stern Putzer I 17</v>
      </c>
      <c r="B64" s="63" t="str">
        <f t="shared" si="11"/>
        <v>SG Stern Putzer I</v>
      </c>
      <c r="C64" s="70">
        <v>17</v>
      </c>
      <c r="D64" s="86">
        <v>20225</v>
      </c>
      <c r="E64" s="66">
        <v>17</v>
      </c>
      <c r="F64" s="235" t="s">
        <v>240</v>
      </c>
      <c r="G64" s="66">
        <v>17</v>
      </c>
      <c r="H64" s="248" t="s">
        <v>627</v>
      </c>
      <c r="W64" s="24" t="str">
        <f>VLOOKUP(H64,Passnr!J:K,2,FALSE)</f>
        <v>D120110</v>
      </c>
      <c r="X64" s="24" t="str">
        <f>IF(W64=F64,"ok","falsch")</f>
        <v>ok</v>
      </c>
      <c r="Y64" s="27">
        <f t="shared" si="8"/>
        <v>20225</v>
      </c>
    </row>
    <row r="65" spans="1:25" ht="14.25">
      <c r="A65" s="24" t="str">
        <f t="shared" si="9"/>
        <v>SG Stern Putzer I 18</v>
      </c>
      <c r="B65" s="63" t="str">
        <f t="shared" si="11"/>
        <v>SG Stern Putzer I</v>
      </c>
      <c r="C65" s="70">
        <v>18</v>
      </c>
      <c r="D65" s="62">
        <v>32828</v>
      </c>
      <c r="E65" s="66">
        <v>18</v>
      </c>
      <c r="F65" s="75" t="s">
        <v>172</v>
      </c>
      <c r="G65" s="66">
        <v>18</v>
      </c>
      <c r="H65" s="108" t="s">
        <v>628</v>
      </c>
      <c r="W65" s="24" t="str">
        <f>VLOOKUP(H65,Passnr!J:K,2,FALSE)</f>
        <v>D025889</v>
      </c>
      <c r="X65" s="24" t="str">
        <f>IF(W65=F65,"ok","falsch")</f>
        <v>ok</v>
      </c>
      <c r="Y65" s="27">
        <f t="shared" si="8"/>
        <v>32828</v>
      </c>
    </row>
    <row r="66" spans="1:25" ht="14.25">
      <c r="A66" s="24" t="str">
        <f t="shared" si="9"/>
        <v>SG Stern Putzer I 19</v>
      </c>
      <c r="B66" s="63" t="str">
        <f t="shared" si="11"/>
        <v>SG Stern Putzer I</v>
      </c>
      <c r="C66" s="70">
        <v>19</v>
      </c>
      <c r="D66" s="86">
        <v>17409</v>
      </c>
      <c r="E66" s="66">
        <v>19</v>
      </c>
      <c r="F66" s="87" t="s">
        <v>222</v>
      </c>
      <c r="G66" s="66">
        <v>19</v>
      </c>
      <c r="H66" s="108" t="s">
        <v>667</v>
      </c>
      <c r="Y66" s="27">
        <f t="shared" si="8"/>
        <v>17409</v>
      </c>
    </row>
    <row r="67" spans="1:25" ht="14.25">
      <c r="A67" s="24" t="str">
        <f t="shared" si="9"/>
        <v>SG Stern Putzer I 20</v>
      </c>
      <c r="B67" s="63" t="str">
        <f t="shared" si="11"/>
        <v>SG Stern Putzer I</v>
      </c>
      <c r="C67" s="70">
        <v>20</v>
      </c>
      <c r="D67" s="62"/>
      <c r="E67" s="70">
        <v>20</v>
      </c>
      <c r="F67" s="64"/>
      <c r="G67" s="70">
        <v>20</v>
      </c>
      <c r="H67" s="67"/>
      <c r="Y67" s="27">
        <f t="shared" si="8"/>
        <v>0</v>
      </c>
    </row>
    <row r="68" spans="1:25" ht="14.25">
      <c r="A68" s="24" t="str">
        <f t="shared" si="9"/>
        <v>SG Stern Putzer I 21</v>
      </c>
      <c r="B68" s="63" t="str">
        <f t="shared" si="11"/>
        <v>SG Stern Putzer I</v>
      </c>
      <c r="C68" s="70">
        <v>21</v>
      </c>
      <c r="D68" s="62"/>
      <c r="E68" s="70">
        <v>21</v>
      </c>
      <c r="F68" s="64"/>
      <c r="G68" s="70">
        <v>21</v>
      </c>
      <c r="H68" s="67"/>
      <c r="Y68" s="27">
        <f t="shared" si="8"/>
        <v>0</v>
      </c>
    </row>
    <row r="69" spans="2:25" ht="24.75" customHeight="1">
      <c r="B69" s="31" t="s">
        <v>605</v>
      </c>
      <c r="C69" s="34">
        <v>1</v>
      </c>
      <c r="D69" s="40"/>
      <c r="E69" s="34">
        <v>1</v>
      </c>
      <c r="F69" s="33"/>
      <c r="G69" s="34">
        <v>1</v>
      </c>
      <c r="H69" s="33"/>
      <c r="Y69" s="27">
        <f t="shared" si="8"/>
        <v>0</v>
      </c>
    </row>
    <row r="70" spans="1:25" ht="14.25">
      <c r="A70" s="24" t="str">
        <f t="shared" si="9"/>
        <v>Voll Druff Kirrlach II 2</v>
      </c>
      <c r="B70" s="76" t="str">
        <f aca="true" t="shared" si="13" ref="B70:B90">$B$69</f>
        <v>Voll Druff Kirrlach II</v>
      </c>
      <c r="C70" s="70">
        <v>2</v>
      </c>
      <c r="D70" s="62">
        <v>21943</v>
      </c>
      <c r="E70" s="70">
        <v>2</v>
      </c>
      <c r="F70" s="234" t="s">
        <v>246</v>
      </c>
      <c r="G70" s="70">
        <v>2</v>
      </c>
      <c r="H70" s="71" t="s">
        <v>87</v>
      </c>
      <c r="W70" s="24" t="str">
        <f>VLOOKUP(H70,Passnr!J:K,2,FALSE)</f>
        <v>D059048</v>
      </c>
      <c r="X70" s="24" t="str">
        <f aca="true" t="shared" si="14" ref="X70:X87">IF(W70=F70,"ok","falsch")</f>
        <v>ok</v>
      </c>
      <c r="Y70" s="27">
        <f aca="true" t="shared" si="15" ref="Y70:Y133">+D70</f>
        <v>21943</v>
      </c>
    </row>
    <row r="71" spans="1:25" ht="14.25">
      <c r="A71" s="24" t="str">
        <f t="shared" si="9"/>
        <v>Voll Druff Kirrlach II 3</v>
      </c>
      <c r="B71" s="76" t="str">
        <f t="shared" si="13"/>
        <v>Voll Druff Kirrlach II</v>
      </c>
      <c r="C71" s="70">
        <v>3</v>
      </c>
      <c r="D71" s="62">
        <v>18185</v>
      </c>
      <c r="E71" s="70">
        <v>3</v>
      </c>
      <c r="F71" s="234" t="s">
        <v>248</v>
      </c>
      <c r="G71" s="70">
        <v>3</v>
      </c>
      <c r="H71" s="71" t="s">
        <v>88</v>
      </c>
      <c r="W71" s="24" t="str">
        <f>VLOOKUP(H71,Passnr!J:K,2,FALSE)</f>
        <v>D059029</v>
      </c>
      <c r="X71" s="24" t="str">
        <f t="shared" si="14"/>
        <v>ok</v>
      </c>
      <c r="Y71" s="27">
        <f t="shared" si="15"/>
        <v>18185</v>
      </c>
    </row>
    <row r="72" spans="1:25" ht="14.25">
      <c r="A72" s="24" t="str">
        <f t="shared" si="9"/>
        <v>Voll Druff Kirrlach II 4</v>
      </c>
      <c r="B72" s="76" t="str">
        <f t="shared" si="13"/>
        <v>Voll Druff Kirrlach II</v>
      </c>
      <c r="C72" s="70">
        <v>4</v>
      </c>
      <c r="D72" s="62">
        <v>19782</v>
      </c>
      <c r="E72" s="70">
        <v>4</v>
      </c>
      <c r="F72" s="234" t="s">
        <v>249</v>
      </c>
      <c r="G72" s="70">
        <v>4</v>
      </c>
      <c r="H72" s="71" t="s">
        <v>89</v>
      </c>
      <c r="W72" s="24" t="str">
        <f>VLOOKUP(H72,Passnr!J:K,2,FALSE)</f>
        <v>D059047</v>
      </c>
      <c r="X72" s="24" t="str">
        <f t="shared" si="14"/>
        <v>ok</v>
      </c>
      <c r="Y72" s="27">
        <f t="shared" si="15"/>
        <v>19782</v>
      </c>
    </row>
    <row r="73" spans="1:25" ht="14.25">
      <c r="A73" s="24" t="str">
        <f t="shared" si="9"/>
        <v>Voll Druff Kirrlach II 5</v>
      </c>
      <c r="B73" s="76" t="str">
        <f t="shared" si="13"/>
        <v>Voll Druff Kirrlach II</v>
      </c>
      <c r="C73" s="70">
        <v>5</v>
      </c>
      <c r="D73" s="62">
        <v>23468</v>
      </c>
      <c r="E73" s="70">
        <v>5</v>
      </c>
      <c r="F73" s="234" t="s">
        <v>250</v>
      </c>
      <c r="G73" s="70">
        <v>5</v>
      </c>
      <c r="H73" s="71" t="s">
        <v>90</v>
      </c>
      <c r="W73" s="24" t="str">
        <f>VLOOKUP(H73,Passnr!J:K,2,FALSE)</f>
        <v>D059046</v>
      </c>
      <c r="X73" s="24" t="str">
        <f t="shared" si="14"/>
        <v>ok</v>
      </c>
      <c r="Y73" s="27">
        <f t="shared" si="15"/>
        <v>23468</v>
      </c>
    </row>
    <row r="74" spans="1:25" ht="14.25">
      <c r="A74" s="24" t="str">
        <f t="shared" si="9"/>
        <v>Voll Druff Kirrlach II 6</v>
      </c>
      <c r="B74" s="76" t="str">
        <f t="shared" si="13"/>
        <v>Voll Druff Kirrlach II</v>
      </c>
      <c r="C74" s="70">
        <v>6</v>
      </c>
      <c r="D74" s="62">
        <v>20447</v>
      </c>
      <c r="E74" s="70">
        <v>6</v>
      </c>
      <c r="F74" s="75" t="s">
        <v>300</v>
      </c>
      <c r="G74" s="70">
        <v>6</v>
      </c>
      <c r="H74" s="71" t="s">
        <v>80</v>
      </c>
      <c r="W74" s="24" t="str">
        <f>VLOOKUP(H74,Passnr!J:K,2,FALSE)</f>
        <v>D059023</v>
      </c>
      <c r="X74" s="24" t="str">
        <f t="shared" si="14"/>
        <v>ok</v>
      </c>
      <c r="Y74" s="27">
        <f t="shared" si="15"/>
        <v>20447</v>
      </c>
    </row>
    <row r="75" spans="1:25" ht="14.25">
      <c r="A75" s="24" t="str">
        <f t="shared" si="9"/>
        <v>Voll Druff Kirrlach II 7</v>
      </c>
      <c r="B75" s="76" t="str">
        <f t="shared" si="13"/>
        <v>Voll Druff Kirrlach II</v>
      </c>
      <c r="C75" s="70">
        <v>7</v>
      </c>
      <c r="D75" s="62">
        <v>19332</v>
      </c>
      <c r="E75" s="70">
        <v>7</v>
      </c>
      <c r="F75" s="232" t="s">
        <v>223</v>
      </c>
      <c r="G75" s="70">
        <v>7</v>
      </c>
      <c r="H75" s="71" t="s">
        <v>81</v>
      </c>
      <c r="W75" s="24" t="str">
        <f>VLOOKUP(H75,Passnr!J:K,2,FALSE)</f>
        <v>D120114</v>
      </c>
      <c r="X75" s="24" t="str">
        <f t="shared" si="14"/>
        <v>ok</v>
      </c>
      <c r="Y75" s="27">
        <f t="shared" si="15"/>
        <v>19332</v>
      </c>
    </row>
    <row r="76" spans="1:25" ht="14.25">
      <c r="A76" s="24" t="str">
        <f t="shared" si="9"/>
        <v>Voll Druff Kirrlach II 8</v>
      </c>
      <c r="B76" s="76" t="str">
        <f t="shared" si="13"/>
        <v>Voll Druff Kirrlach II</v>
      </c>
      <c r="C76" s="70">
        <v>8</v>
      </c>
      <c r="D76" s="62">
        <v>21513</v>
      </c>
      <c r="E76" s="70">
        <v>8</v>
      </c>
      <c r="F76" s="232" t="s">
        <v>224</v>
      </c>
      <c r="G76" s="70">
        <v>8</v>
      </c>
      <c r="H76" s="71" t="s">
        <v>83</v>
      </c>
      <c r="W76" s="24" t="str">
        <f>VLOOKUP(H76,Passnr!J:K,2,FALSE)</f>
        <v>D120113</v>
      </c>
      <c r="X76" s="24" t="str">
        <f t="shared" si="14"/>
        <v>ok</v>
      </c>
      <c r="Y76" s="27">
        <f t="shared" si="15"/>
        <v>21513</v>
      </c>
    </row>
    <row r="77" spans="1:25" ht="14.25">
      <c r="A77" s="24" t="str">
        <f t="shared" si="9"/>
        <v>Voll Druff Kirrlach II 9</v>
      </c>
      <c r="B77" s="76" t="str">
        <f t="shared" si="13"/>
        <v>Voll Druff Kirrlach II</v>
      </c>
      <c r="C77" s="70">
        <v>9</v>
      </c>
      <c r="D77" s="62">
        <v>31861</v>
      </c>
      <c r="E77" s="70">
        <v>9</v>
      </c>
      <c r="F77" s="232" t="s">
        <v>196</v>
      </c>
      <c r="G77" s="70">
        <v>9</v>
      </c>
      <c r="H77" s="108" t="s">
        <v>191</v>
      </c>
      <c r="W77" s="24" t="str">
        <f>VLOOKUP(H77,Passnr!J:K,2,FALSE)</f>
        <v>D059024</v>
      </c>
      <c r="X77" s="24" t="str">
        <f t="shared" si="14"/>
        <v>ok</v>
      </c>
      <c r="Y77" s="27">
        <f t="shared" si="15"/>
        <v>31861</v>
      </c>
    </row>
    <row r="78" spans="1:25" ht="14.25">
      <c r="A78" s="24" t="str">
        <f t="shared" si="9"/>
        <v>Voll Druff Kirrlach II 10</v>
      </c>
      <c r="B78" s="76" t="str">
        <f t="shared" si="13"/>
        <v>Voll Druff Kirrlach II</v>
      </c>
      <c r="C78" s="70">
        <v>10</v>
      </c>
      <c r="D78" s="62">
        <v>19446</v>
      </c>
      <c r="E78" s="70">
        <v>10</v>
      </c>
      <c r="F78" s="64" t="s">
        <v>554</v>
      </c>
      <c r="G78" s="70">
        <v>10</v>
      </c>
      <c r="H78" s="108" t="s">
        <v>555</v>
      </c>
      <c r="W78" s="24" t="str">
        <f>VLOOKUP(H78,Passnr!J:K,2,FALSE)</f>
        <v>D120164</v>
      </c>
      <c r="X78" s="24" t="str">
        <f t="shared" si="14"/>
        <v>ok</v>
      </c>
      <c r="Y78" s="27">
        <f t="shared" si="15"/>
        <v>19446</v>
      </c>
    </row>
    <row r="79" spans="1:25" ht="14.25">
      <c r="A79" s="24" t="str">
        <f t="shared" si="9"/>
        <v>Voll Druff Kirrlach II 11</v>
      </c>
      <c r="B79" s="76" t="str">
        <f t="shared" si="13"/>
        <v>Voll Druff Kirrlach II</v>
      </c>
      <c r="C79" s="70">
        <v>11</v>
      </c>
      <c r="D79" s="62">
        <v>30701</v>
      </c>
      <c r="E79" s="70">
        <v>11</v>
      </c>
      <c r="F79" s="232" t="s">
        <v>197</v>
      </c>
      <c r="G79" s="70">
        <v>11</v>
      </c>
      <c r="H79" s="108" t="s">
        <v>192</v>
      </c>
      <c r="W79" s="24" t="str">
        <f>VLOOKUP(H79,Passnr!J:K,2,FALSE)</f>
        <v>D059025</v>
      </c>
      <c r="X79" s="24" t="str">
        <f t="shared" si="14"/>
        <v>ok</v>
      </c>
      <c r="Y79" s="27">
        <f t="shared" si="15"/>
        <v>30701</v>
      </c>
    </row>
    <row r="80" spans="1:25" ht="14.25">
      <c r="A80" s="24" t="str">
        <f t="shared" si="9"/>
        <v>Voll Druff Kirrlach II 12</v>
      </c>
      <c r="B80" s="76" t="str">
        <f t="shared" si="13"/>
        <v>Voll Druff Kirrlach II</v>
      </c>
      <c r="C80" s="70">
        <v>12</v>
      </c>
      <c r="D80" s="62">
        <v>27626</v>
      </c>
      <c r="E80" s="70">
        <v>12</v>
      </c>
      <c r="F80" s="64" t="s">
        <v>610</v>
      </c>
      <c r="G80" s="70">
        <v>12</v>
      </c>
      <c r="H80" s="108" t="s">
        <v>611</v>
      </c>
      <c r="W80" s="24" t="str">
        <f>VLOOKUP(H80,Passnr!J:K,2,FALSE)</f>
        <v>D120175</v>
      </c>
      <c r="X80" s="24" t="str">
        <f t="shared" si="14"/>
        <v>ok</v>
      </c>
      <c r="Y80" s="27">
        <f t="shared" si="15"/>
        <v>27626</v>
      </c>
    </row>
    <row r="81" spans="1:25" ht="14.25">
      <c r="A81" s="24" t="str">
        <f t="shared" si="9"/>
        <v>Voll Druff Kirrlach II 13</v>
      </c>
      <c r="B81" s="76" t="str">
        <f t="shared" si="13"/>
        <v>Voll Druff Kirrlach II</v>
      </c>
      <c r="C81" s="70">
        <v>13</v>
      </c>
      <c r="D81" s="62">
        <v>21205</v>
      </c>
      <c r="E81" s="70">
        <v>13</v>
      </c>
      <c r="F81" s="64" t="s">
        <v>332</v>
      </c>
      <c r="G81" s="70">
        <v>13</v>
      </c>
      <c r="H81" s="108" t="s">
        <v>621</v>
      </c>
      <c r="W81" s="24" t="str">
        <f>VLOOKUP(H81,Passnr!J:K,2,FALSE)</f>
        <v>D059012</v>
      </c>
      <c r="X81" s="24" t="str">
        <f t="shared" si="14"/>
        <v>ok</v>
      </c>
      <c r="Y81" s="27">
        <f t="shared" si="15"/>
        <v>21205</v>
      </c>
    </row>
    <row r="82" spans="1:25" ht="14.25">
      <c r="A82" s="24" t="str">
        <f t="shared" si="9"/>
        <v>Voll Druff Kirrlach II 14</v>
      </c>
      <c r="B82" s="76" t="str">
        <f t="shared" si="13"/>
        <v>Voll Druff Kirrlach II</v>
      </c>
      <c r="C82" s="70">
        <v>14</v>
      </c>
      <c r="D82" s="62">
        <v>20422</v>
      </c>
      <c r="E82" s="70">
        <v>14</v>
      </c>
      <c r="F82" s="64" t="s">
        <v>623</v>
      </c>
      <c r="G82" s="70">
        <v>14</v>
      </c>
      <c r="H82" s="108" t="s">
        <v>622</v>
      </c>
      <c r="W82" s="24" t="str">
        <f>VLOOKUP(H82,Passnr!J:K,2,FALSE)</f>
        <v>D059018</v>
      </c>
      <c r="X82" s="24" t="str">
        <f t="shared" si="14"/>
        <v>ok</v>
      </c>
      <c r="Y82" s="27">
        <f t="shared" si="15"/>
        <v>20422</v>
      </c>
    </row>
    <row r="83" spans="1:25" ht="14.25">
      <c r="A83" s="24" t="str">
        <f t="shared" si="9"/>
        <v>Voll Druff Kirrlach II 15</v>
      </c>
      <c r="B83" s="76" t="str">
        <f t="shared" si="13"/>
        <v>Voll Druff Kirrlach II</v>
      </c>
      <c r="C83" s="70">
        <v>15</v>
      </c>
      <c r="D83" s="62">
        <v>34282</v>
      </c>
      <c r="E83" s="70">
        <v>15</v>
      </c>
      <c r="F83" s="232" t="s">
        <v>553</v>
      </c>
      <c r="G83" s="70">
        <v>15</v>
      </c>
      <c r="H83" s="229" t="s">
        <v>653</v>
      </c>
      <c r="W83" s="24" t="str">
        <f>VLOOKUP(H83,Passnr!J:K,2,FALSE)</f>
        <v>D120158</v>
      </c>
      <c r="X83" s="24" t="str">
        <f t="shared" si="14"/>
        <v>ok</v>
      </c>
      <c r="Y83" s="27">
        <f t="shared" si="15"/>
        <v>34282</v>
      </c>
    </row>
    <row r="84" spans="1:25" ht="14.25">
      <c r="A84" s="24" t="str">
        <f t="shared" si="9"/>
        <v>Voll Druff Kirrlach II 16</v>
      </c>
      <c r="B84" s="76" t="str">
        <f t="shared" si="13"/>
        <v>Voll Druff Kirrlach II</v>
      </c>
      <c r="C84" s="70">
        <v>16</v>
      </c>
      <c r="D84" s="86">
        <v>23441</v>
      </c>
      <c r="E84" s="70">
        <v>16</v>
      </c>
      <c r="F84" s="235" t="s">
        <v>245</v>
      </c>
      <c r="G84" s="70">
        <v>16</v>
      </c>
      <c r="H84" s="92" t="s">
        <v>82</v>
      </c>
      <c r="W84" s="24" t="str">
        <f>VLOOKUP(H84,Passnr!J:K,2,FALSE)</f>
        <v>D120125</v>
      </c>
      <c r="X84" s="24" t="str">
        <f t="shared" si="14"/>
        <v>ok</v>
      </c>
      <c r="Y84" s="27">
        <f t="shared" si="15"/>
        <v>23441</v>
      </c>
    </row>
    <row r="85" spans="1:25" ht="14.25">
      <c r="A85" s="24" t="str">
        <f t="shared" si="9"/>
        <v>Voll Druff Kirrlach II 17</v>
      </c>
      <c r="B85" s="76" t="str">
        <f t="shared" si="13"/>
        <v>Voll Druff Kirrlach II</v>
      </c>
      <c r="C85" s="70">
        <v>17</v>
      </c>
      <c r="D85" s="62">
        <v>24539</v>
      </c>
      <c r="E85" s="70">
        <v>17</v>
      </c>
      <c r="F85" s="235" t="s">
        <v>638</v>
      </c>
      <c r="G85" s="70">
        <v>17</v>
      </c>
      <c r="H85" s="108" t="s">
        <v>635</v>
      </c>
      <c r="W85" s="24" t="str">
        <f>VLOOKUP(H85,Passnr!J:K,2,FALSE)</f>
        <v>D153431</v>
      </c>
      <c r="X85" s="24" t="str">
        <f t="shared" si="14"/>
        <v>ok</v>
      </c>
      <c r="Y85" s="27">
        <f t="shared" si="15"/>
        <v>24539</v>
      </c>
    </row>
    <row r="86" spans="1:25" ht="14.25">
      <c r="A86" s="24" t="str">
        <f t="shared" si="9"/>
        <v>Voll Druff Kirrlach II 18</v>
      </c>
      <c r="B86" s="76" t="str">
        <f t="shared" si="13"/>
        <v>Voll Druff Kirrlach II</v>
      </c>
      <c r="C86" s="70">
        <v>18</v>
      </c>
      <c r="D86" s="62">
        <v>25426</v>
      </c>
      <c r="E86" s="70">
        <v>18</v>
      </c>
      <c r="F86" s="235" t="s">
        <v>639</v>
      </c>
      <c r="G86" s="70">
        <v>18</v>
      </c>
      <c r="H86" s="108" t="s">
        <v>636</v>
      </c>
      <c r="W86" s="24" t="str">
        <f>VLOOKUP(H86,Passnr!J:K,2,FALSE)</f>
        <v>D153433</v>
      </c>
      <c r="X86" s="24" t="str">
        <f t="shared" si="14"/>
        <v>ok</v>
      </c>
      <c r="Y86" s="27">
        <f t="shared" si="15"/>
        <v>25426</v>
      </c>
    </row>
    <row r="87" spans="1:25" ht="14.25">
      <c r="A87" s="24" t="str">
        <f t="shared" si="9"/>
        <v>Voll Druff Kirrlach II 19</v>
      </c>
      <c r="B87" s="76" t="str">
        <f t="shared" si="13"/>
        <v>Voll Druff Kirrlach II</v>
      </c>
      <c r="C87" s="70">
        <v>19</v>
      </c>
      <c r="D87" s="62">
        <v>25090</v>
      </c>
      <c r="E87" s="70">
        <v>19</v>
      </c>
      <c r="F87" s="235" t="s">
        <v>640</v>
      </c>
      <c r="G87" s="70">
        <v>19</v>
      </c>
      <c r="H87" s="108" t="s">
        <v>637</v>
      </c>
      <c r="W87" s="24" t="str">
        <f>VLOOKUP(H87,Passnr!J:K,2,FALSE)</f>
        <v>D153432</v>
      </c>
      <c r="X87" s="24" t="str">
        <f t="shared" si="14"/>
        <v>ok</v>
      </c>
      <c r="Y87" s="27">
        <f t="shared" si="15"/>
        <v>25090</v>
      </c>
    </row>
    <row r="88" spans="1:25" ht="14.25">
      <c r="A88" s="24" t="str">
        <f t="shared" si="9"/>
        <v>Voll Druff Kirrlach II 20</v>
      </c>
      <c r="B88" s="76" t="str">
        <f t="shared" si="13"/>
        <v>Voll Druff Kirrlach II</v>
      </c>
      <c r="C88" s="70">
        <v>20</v>
      </c>
      <c r="D88" s="62"/>
      <c r="E88" s="70">
        <v>20</v>
      </c>
      <c r="F88" s="235"/>
      <c r="G88" s="70">
        <v>20</v>
      </c>
      <c r="H88" s="108"/>
      <c r="Y88" s="27">
        <f t="shared" si="15"/>
        <v>0</v>
      </c>
    </row>
    <row r="89" spans="1:25" ht="14.25">
      <c r="A89" s="110" t="str">
        <f t="shared" si="9"/>
        <v>Voll Druff Kirrlach II 21</v>
      </c>
      <c r="B89" s="76" t="str">
        <f t="shared" si="13"/>
        <v>Voll Druff Kirrlach II</v>
      </c>
      <c r="C89" s="70">
        <v>21</v>
      </c>
      <c r="D89" s="62"/>
      <c r="E89" s="70">
        <v>21</v>
      </c>
      <c r="F89" s="235"/>
      <c r="G89" s="70">
        <v>21</v>
      </c>
      <c r="H89" s="108"/>
      <c r="Y89" s="27">
        <f t="shared" si="15"/>
        <v>0</v>
      </c>
    </row>
    <row r="90" spans="1:25" ht="14.25">
      <c r="A90" s="24" t="str">
        <f t="shared" si="9"/>
        <v>Voll Druff Kirrlach II 22</v>
      </c>
      <c r="B90" s="76" t="str">
        <f t="shared" si="13"/>
        <v>Voll Druff Kirrlach II</v>
      </c>
      <c r="C90" s="70">
        <v>22</v>
      </c>
      <c r="D90" s="62"/>
      <c r="E90" s="70">
        <v>22</v>
      </c>
      <c r="F90" s="235"/>
      <c r="G90" s="70">
        <v>22</v>
      </c>
      <c r="H90" s="108"/>
      <c r="Y90" s="27">
        <f t="shared" si="15"/>
        <v>0</v>
      </c>
    </row>
    <row r="91" spans="2:25" ht="24.75" customHeight="1">
      <c r="B91" s="31" t="s">
        <v>608</v>
      </c>
      <c r="C91" s="32">
        <v>1</v>
      </c>
      <c r="D91" s="40"/>
      <c r="E91" s="32">
        <v>1</v>
      </c>
      <c r="F91" s="33"/>
      <c r="G91" s="34">
        <v>1</v>
      </c>
      <c r="H91" s="33"/>
      <c r="Y91" s="27">
        <f t="shared" si="15"/>
        <v>0</v>
      </c>
    </row>
    <row r="92" spans="1:25" ht="14.25">
      <c r="A92" s="24" t="str">
        <f t="shared" si="9"/>
        <v>Los Ninos Eppelheim 2</v>
      </c>
      <c r="B92" s="63" t="str">
        <f aca="true" t="shared" si="16" ref="B92:B111">$B$91</f>
        <v>Los Ninos Eppelheim</v>
      </c>
      <c r="C92" s="70">
        <v>2</v>
      </c>
      <c r="D92" s="88">
        <v>24361</v>
      </c>
      <c r="E92" s="70">
        <v>2</v>
      </c>
      <c r="F92" s="232" t="s">
        <v>228</v>
      </c>
      <c r="G92" s="70">
        <v>2</v>
      </c>
      <c r="H92" s="108" t="s">
        <v>101</v>
      </c>
      <c r="I92" s="30" t="s">
        <v>53</v>
      </c>
      <c r="J92" s="30" t="s">
        <v>54</v>
      </c>
      <c r="K92" s="30" t="s">
        <v>55</v>
      </c>
      <c r="L92" s="30" t="s">
        <v>56</v>
      </c>
      <c r="M92" s="30" t="s">
        <v>57</v>
      </c>
      <c r="N92" s="30" t="s">
        <v>58</v>
      </c>
      <c r="W92" s="24" t="str">
        <f>VLOOKUP(H92,Passnr!J:K,2,FALSE)</f>
        <v>D059050</v>
      </c>
      <c r="X92" s="24" t="str">
        <f aca="true" t="shared" si="17" ref="X92:X100">IF(W92=F92,"ok","falsch")</f>
        <v>ok</v>
      </c>
      <c r="Y92" s="27">
        <f t="shared" si="15"/>
        <v>24361</v>
      </c>
    </row>
    <row r="93" spans="1:25" ht="14.25">
      <c r="A93" s="24" t="str">
        <f aca="true" t="shared" si="18" ref="A93:A156">+B93&amp;" "&amp;C93</f>
        <v>Los Ninos Eppelheim 3</v>
      </c>
      <c r="B93" s="63" t="str">
        <f t="shared" si="16"/>
        <v>Los Ninos Eppelheim</v>
      </c>
      <c r="C93" s="70">
        <v>3</v>
      </c>
      <c r="D93" s="88">
        <v>22349</v>
      </c>
      <c r="E93" s="70">
        <v>3</v>
      </c>
      <c r="F93" s="232" t="s">
        <v>288</v>
      </c>
      <c r="G93" s="70">
        <v>3</v>
      </c>
      <c r="H93" s="108" t="s">
        <v>102</v>
      </c>
      <c r="W93" s="24" t="str">
        <f>VLOOKUP(H93,Passnr!J:K,2,FALSE)</f>
        <v>D059020</v>
      </c>
      <c r="X93" s="24" t="str">
        <f t="shared" si="17"/>
        <v>ok</v>
      </c>
      <c r="Y93" s="27">
        <f t="shared" si="15"/>
        <v>22349</v>
      </c>
    </row>
    <row r="94" spans="1:25" ht="14.25">
      <c r="A94" s="24" t="str">
        <f t="shared" si="18"/>
        <v>Los Ninos Eppelheim 4</v>
      </c>
      <c r="B94" s="63" t="str">
        <f t="shared" si="16"/>
        <v>Los Ninos Eppelheim</v>
      </c>
      <c r="C94" s="70">
        <v>4</v>
      </c>
      <c r="D94" s="88">
        <v>31715</v>
      </c>
      <c r="E94" s="70">
        <v>4</v>
      </c>
      <c r="F94" s="232" t="s">
        <v>173</v>
      </c>
      <c r="G94" s="70">
        <v>4</v>
      </c>
      <c r="H94" s="108" t="s">
        <v>103</v>
      </c>
      <c r="W94" s="24" t="str">
        <f>VLOOKUP(H94,Passnr!J:K,2,FALSE)</f>
        <v>D059011</v>
      </c>
      <c r="X94" s="24" t="str">
        <f t="shared" si="17"/>
        <v>ok</v>
      </c>
      <c r="Y94" s="27">
        <f t="shared" si="15"/>
        <v>31715</v>
      </c>
    </row>
    <row r="95" spans="1:25" ht="14.25">
      <c r="A95" s="24" t="str">
        <f t="shared" si="18"/>
        <v>Los Ninos Eppelheim 5</v>
      </c>
      <c r="B95" s="63" t="str">
        <f t="shared" si="16"/>
        <v>Los Ninos Eppelheim</v>
      </c>
      <c r="C95" s="70">
        <v>5</v>
      </c>
      <c r="D95" s="88">
        <v>27350</v>
      </c>
      <c r="E95" s="70">
        <v>5</v>
      </c>
      <c r="F95" s="232" t="s">
        <v>174</v>
      </c>
      <c r="G95" s="70">
        <v>5</v>
      </c>
      <c r="H95" s="108" t="s">
        <v>195</v>
      </c>
      <c r="W95" s="24" t="str">
        <f>VLOOKUP(H95,Passnr!J:K,2,FALSE)</f>
        <v>D059009</v>
      </c>
      <c r="X95" s="24" t="str">
        <f t="shared" si="17"/>
        <v>ok</v>
      </c>
      <c r="Y95" s="27">
        <f t="shared" si="15"/>
        <v>27350</v>
      </c>
    </row>
    <row r="96" spans="1:25" ht="14.25">
      <c r="A96" s="24" t="str">
        <f t="shared" si="18"/>
        <v>Los Ninos Eppelheim 6</v>
      </c>
      <c r="B96" s="63" t="str">
        <f t="shared" si="16"/>
        <v>Los Ninos Eppelheim</v>
      </c>
      <c r="C96" s="70">
        <v>6</v>
      </c>
      <c r="D96" s="88">
        <v>19301</v>
      </c>
      <c r="E96" s="70">
        <v>6</v>
      </c>
      <c r="F96" s="232" t="s">
        <v>229</v>
      </c>
      <c r="G96" s="70">
        <v>6</v>
      </c>
      <c r="H96" s="108" t="s">
        <v>104</v>
      </c>
      <c r="W96" s="24" t="str">
        <f>VLOOKUP(H96,Passnr!J:K,2,FALSE)</f>
        <v>D120135</v>
      </c>
      <c r="X96" s="24" t="str">
        <f t="shared" si="17"/>
        <v>ok</v>
      </c>
      <c r="Y96" s="27">
        <f t="shared" si="15"/>
        <v>19301</v>
      </c>
    </row>
    <row r="97" spans="1:25" ht="14.25">
      <c r="A97" s="24" t="str">
        <f t="shared" si="18"/>
        <v>Los Ninos Eppelheim 7</v>
      </c>
      <c r="B97" s="63" t="str">
        <f t="shared" si="16"/>
        <v>Los Ninos Eppelheim</v>
      </c>
      <c r="C97" s="70">
        <v>7</v>
      </c>
      <c r="D97" s="88">
        <v>18438</v>
      </c>
      <c r="E97" s="70">
        <v>7</v>
      </c>
      <c r="F97" s="232" t="s">
        <v>230</v>
      </c>
      <c r="G97" s="70">
        <v>7</v>
      </c>
      <c r="H97" s="108" t="s">
        <v>105</v>
      </c>
      <c r="W97" s="24" t="str">
        <f>VLOOKUP(H97,Passnr!J:K,2,FALSE)</f>
        <v>D120136</v>
      </c>
      <c r="X97" s="24" t="str">
        <f t="shared" si="17"/>
        <v>ok</v>
      </c>
      <c r="Y97" s="27">
        <f t="shared" si="15"/>
        <v>18438</v>
      </c>
    </row>
    <row r="98" spans="1:25" ht="14.25">
      <c r="A98" s="24" t="str">
        <f t="shared" si="18"/>
        <v>Los Ninos Eppelheim 8</v>
      </c>
      <c r="B98" s="63" t="str">
        <f t="shared" si="16"/>
        <v>Los Ninos Eppelheim</v>
      </c>
      <c r="C98" s="70">
        <v>8</v>
      </c>
      <c r="D98" s="88">
        <v>27148</v>
      </c>
      <c r="E98" s="70">
        <v>8</v>
      </c>
      <c r="F98" s="232" t="s">
        <v>231</v>
      </c>
      <c r="G98" s="70">
        <v>8</v>
      </c>
      <c r="H98" s="108" t="s">
        <v>106</v>
      </c>
      <c r="W98" s="24" t="str">
        <f>VLOOKUP(H98,Passnr!J:K,2,FALSE)</f>
        <v>D059027</v>
      </c>
      <c r="X98" s="24" t="str">
        <f t="shared" si="17"/>
        <v>ok</v>
      </c>
      <c r="Y98" s="27">
        <f t="shared" si="15"/>
        <v>27148</v>
      </c>
    </row>
    <row r="99" spans="1:25" ht="14.25">
      <c r="A99" s="24" t="str">
        <f t="shared" si="18"/>
        <v>Los Ninos Eppelheim 9</v>
      </c>
      <c r="B99" s="63" t="str">
        <f t="shared" si="16"/>
        <v>Los Ninos Eppelheim</v>
      </c>
      <c r="C99" s="70">
        <v>9</v>
      </c>
      <c r="D99" s="88">
        <v>20890</v>
      </c>
      <c r="E99" s="70">
        <v>9</v>
      </c>
      <c r="F99" s="232" t="s">
        <v>175</v>
      </c>
      <c r="G99" s="70">
        <v>9</v>
      </c>
      <c r="H99" s="71" t="s">
        <v>107</v>
      </c>
      <c r="W99" s="24" t="str">
        <f>VLOOKUP(H99,Passnr!J:K,2,FALSE)</f>
        <v>D059008</v>
      </c>
      <c r="X99" s="24" t="str">
        <f t="shared" si="17"/>
        <v>ok</v>
      </c>
      <c r="Y99" s="27">
        <f t="shared" si="15"/>
        <v>20890</v>
      </c>
    </row>
    <row r="100" spans="1:25" ht="14.25">
      <c r="A100" s="24" t="str">
        <f t="shared" si="18"/>
        <v>Los Ninos Eppelheim 10</v>
      </c>
      <c r="B100" s="63" t="str">
        <f t="shared" si="16"/>
        <v>Los Ninos Eppelheim</v>
      </c>
      <c r="C100" s="70">
        <v>10</v>
      </c>
      <c r="D100" s="88">
        <v>32874</v>
      </c>
      <c r="E100" s="70">
        <v>10</v>
      </c>
      <c r="F100" s="87" t="s">
        <v>602</v>
      </c>
      <c r="G100" s="70">
        <v>10</v>
      </c>
      <c r="H100" s="108" t="s">
        <v>601</v>
      </c>
      <c r="W100" s="24" t="str">
        <f>VLOOKUP(H100,Passnr!J:K,2,FALSE)</f>
        <v>D147617</v>
      </c>
      <c r="X100" s="24" t="str">
        <f t="shared" si="17"/>
        <v>ok</v>
      </c>
      <c r="Y100" s="27">
        <f t="shared" si="15"/>
        <v>32874</v>
      </c>
    </row>
    <row r="101" spans="1:25" ht="14.25">
      <c r="A101" s="24" t="str">
        <f t="shared" si="18"/>
        <v>Los Ninos Eppelheim 11</v>
      </c>
      <c r="B101" s="63" t="str">
        <f t="shared" si="16"/>
        <v>Los Ninos Eppelheim</v>
      </c>
      <c r="C101" s="70">
        <v>11</v>
      </c>
      <c r="D101" s="88">
        <v>19236</v>
      </c>
      <c r="E101" s="70">
        <v>11</v>
      </c>
      <c r="F101" s="232" t="s">
        <v>241</v>
      </c>
      <c r="G101" s="70">
        <v>11</v>
      </c>
      <c r="H101" s="108" t="s">
        <v>651</v>
      </c>
      <c r="I101" s="108"/>
      <c r="W101" s="24" t="str">
        <f>VLOOKUP(H101,Passnr!J:K,2,FALSE)</f>
        <v>D120137</v>
      </c>
      <c r="X101" s="24" t="str">
        <f>IF(W101=F101,"ok","falsch")</f>
        <v>ok</v>
      </c>
      <c r="Y101" s="27">
        <f t="shared" si="15"/>
        <v>19236</v>
      </c>
    </row>
    <row r="102" spans="1:25" ht="14.25">
      <c r="A102" s="24" t="str">
        <f t="shared" si="18"/>
        <v>Los Ninos Eppelheim 12</v>
      </c>
      <c r="B102" s="63" t="str">
        <f t="shared" si="16"/>
        <v>Los Ninos Eppelheim</v>
      </c>
      <c r="C102" s="70">
        <v>12</v>
      </c>
      <c r="D102" s="88">
        <v>20505</v>
      </c>
      <c r="E102" s="70">
        <v>12</v>
      </c>
      <c r="F102" s="232" t="s">
        <v>242</v>
      </c>
      <c r="G102" s="70">
        <v>12</v>
      </c>
      <c r="H102" s="108" t="s">
        <v>652</v>
      </c>
      <c r="I102" s="108"/>
      <c r="W102" s="24" t="str">
        <f>VLOOKUP(H102,Passnr!J:K,2,FALSE)</f>
        <v>D120138</v>
      </c>
      <c r="X102" s="24" t="str">
        <f>IF(W102=F102,"ok","falsch")</f>
        <v>ok</v>
      </c>
      <c r="Y102" s="27">
        <f t="shared" si="15"/>
        <v>20505</v>
      </c>
    </row>
    <row r="103" spans="1:25" ht="14.25">
      <c r="A103" s="24" t="str">
        <f t="shared" si="18"/>
        <v>Los Ninos Eppelheim 13</v>
      </c>
      <c r="B103" s="63" t="str">
        <f t="shared" si="16"/>
        <v>Los Ninos Eppelheim</v>
      </c>
      <c r="C103" s="70">
        <v>13</v>
      </c>
      <c r="D103" s="62"/>
      <c r="E103" s="70">
        <v>13</v>
      </c>
      <c r="F103" s="64"/>
      <c r="G103" s="70">
        <v>13</v>
      </c>
      <c r="H103" s="67"/>
      <c r="Y103" s="27">
        <f t="shared" si="15"/>
        <v>0</v>
      </c>
    </row>
    <row r="104" spans="1:25" ht="14.25">
      <c r="A104" s="24" t="str">
        <f t="shared" si="18"/>
        <v>Los Ninos Eppelheim 14</v>
      </c>
      <c r="B104" s="63" t="str">
        <f t="shared" si="16"/>
        <v>Los Ninos Eppelheim</v>
      </c>
      <c r="C104" s="70">
        <v>14</v>
      </c>
      <c r="D104" s="62"/>
      <c r="E104" s="70">
        <v>14</v>
      </c>
      <c r="F104" s="64"/>
      <c r="G104" s="70">
        <v>14</v>
      </c>
      <c r="H104" s="67"/>
      <c r="Y104" s="27">
        <f t="shared" si="15"/>
        <v>0</v>
      </c>
    </row>
    <row r="105" spans="1:25" ht="14.25">
      <c r="A105" s="24" t="str">
        <f t="shared" si="18"/>
        <v>Los Ninos Eppelheim 15</v>
      </c>
      <c r="B105" s="63" t="str">
        <f t="shared" si="16"/>
        <v>Los Ninos Eppelheim</v>
      </c>
      <c r="C105" s="70">
        <v>15</v>
      </c>
      <c r="D105" s="62"/>
      <c r="E105" s="70">
        <v>15</v>
      </c>
      <c r="F105" s="64"/>
      <c r="G105" s="70">
        <v>15</v>
      </c>
      <c r="H105" s="67"/>
      <c r="Y105" s="27">
        <f t="shared" si="15"/>
        <v>0</v>
      </c>
    </row>
    <row r="106" spans="1:25" ht="14.25">
      <c r="A106" s="24" t="str">
        <f t="shared" si="18"/>
        <v>Los Ninos Eppelheim 16</v>
      </c>
      <c r="B106" s="63" t="str">
        <f t="shared" si="16"/>
        <v>Los Ninos Eppelheim</v>
      </c>
      <c r="C106" s="70">
        <v>16</v>
      </c>
      <c r="D106" s="62"/>
      <c r="E106" s="70">
        <v>16</v>
      </c>
      <c r="F106" s="64"/>
      <c r="G106" s="70">
        <v>16</v>
      </c>
      <c r="H106" s="67"/>
      <c r="Y106" s="27">
        <f t="shared" si="15"/>
        <v>0</v>
      </c>
    </row>
    <row r="107" spans="1:25" ht="14.25">
      <c r="A107" s="24" t="str">
        <f t="shared" si="18"/>
        <v>Los Ninos Eppelheim 17</v>
      </c>
      <c r="B107" s="63" t="str">
        <f t="shared" si="16"/>
        <v>Los Ninos Eppelheim</v>
      </c>
      <c r="C107" s="70">
        <v>17</v>
      </c>
      <c r="D107" s="62"/>
      <c r="E107" s="70">
        <v>17</v>
      </c>
      <c r="F107" s="64"/>
      <c r="G107" s="70">
        <v>17</v>
      </c>
      <c r="H107" s="67"/>
      <c r="Y107" s="27">
        <f t="shared" si="15"/>
        <v>0</v>
      </c>
    </row>
    <row r="108" spans="1:25" ht="14.25">
      <c r="A108" s="24" t="str">
        <f t="shared" si="18"/>
        <v>Los Ninos Eppelheim 18</v>
      </c>
      <c r="B108" s="63" t="str">
        <f t="shared" si="16"/>
        <v>Los Ninos Eppelheim</v>
      </c>
      <c r="C108" s="70">
        <v>18</v>
      </c>
      <c r="D108" s="62"/>
      <c r="E108" s="70">
        <v>18</v>
      </c>
      <c r="F108" s="64"/>
      <c r="G108" s="70">
        <v>18</v>
      </c>
      <c r="H108" s="67"/>
      <c r="Y108" s="27">
        <f t="shared" si="15"/>
        <v>0</v>
      </c>
    </row>
    <row r="109" spans="1:25" ht="14.25">
      <c r="A109" s="24" t="str">
        <f t="shared" si="18"/>
        <v>Los Ninos Eppelheim 19</v>
      </c>
      <c r="B109" s="63" t="str">
        <f t="shared" si="16"/>
        <v>Los Ninos Eppelheim</v>
      </c>
      <c r="C109" s="70">
        <v>19</v>
      </c>
      <c r="D109" s="62"/>
      <c r="E109" s="70">
        <v>19</v>
      </c>
      <c r="F109" s="64"/>
      <c r="G109" s="70">
        <v>19</v>
      </c>
      <c r="H109" s="67"/>
      <c r="Y109" s="27">
        <f t="shared" si="15"/>
        <v>0</v>
      </c>
    </row>
    <row r="110" spans="1:25" ht="14.25">
      <c r="A110" s="24" t="str">
        <f t="shared" si="18"/>
        <v>Los Ninos Eppelheim 20</v>
      </c>
      <c r="B110" s="63" t="str">
        <f t="shared" si="16"/>
        <v>Los Ninos Eppelheim</v>
      </c>
      <c r="C110" s="70">
        <v>20</v>
      </c>
      <c r="D110" s="62"/>
      <c r="E110" s="70">
        <v>20</v>
      </c>
      <c r="F110" s="64"/>
      <c r="G110" s="70">
        <v>20</v>
      </c>
      <c r="H110" s="67"/>
      <c r="Y110" s="27">
        <f t="shared" si="15"/>
        <v>0</v>
      </c>
    </row>
    <row r="111" spans="1:25" ht="14.25">
      <c r="A111" s="24" t="str">
        <f t="shared" si="18"/>
        <v>Los Ninos Eppelheim 21</v>
      </c>
      <c r="B111" s="63" t="str">
        <f t="shared" si="16"/>
        <v>Los Ninos Eppelheim</v>
      </c>
      <c r="C111" s="70">
        <v>21</v>
      </c>
      <c r="D111" s="62"/>
      <c r="E111" s="70">
        <v>21</v>
      </c>
      <c r="F111" s="64"/>
      <c r="G111" s="70">
        <v>21</v>
      </c>
      <c r="H111" s="67"/>
      <c r="Y111" s="27">
        <f t="shared" si="15"/>
        <v>0</v>
      </c>
    </row>
    <row r="112" spans="2:25" ht="24.75" customHeight="1">
      <c r="B112" s="31" t="s">
        <v>607</v>
      </c>
      <c r="C112" s="34">
        <v>1</v>
      </c>
      <c r="D112" s="40"/>
      <c r="E112" s="34">
        <v>1</v>
      </c>
      <c r="F112" s="33"/>
      <c r="G112" s="34">
        <v>1</v>
      </c>
      <c r="H112" s="33"/>
      <c r="Y112" s="27">
        <f t="shared" si="15"/>
        <v>0</v>
      </c>
    </row>
    <row r="113" spans="1:25" ht="14.25">
      <c r="A113" s="24" t="str">
        <f t="shared" si="18"/>
        <v>Hau Druff Worms 2</v>
      </c>
      <c r="B113" s="76" t="str">
        <f aca="true" t="shared" si="19" ref="B113:B132">$B$112</f>
        <v>Hau Druff Worms</v>
      </c>
      <c r="C113" s="70">
        <v>2</v>
      </c>
      <c r="D113" s="62">
        <v>23388</v>
      </c>
      <c r="E113" s="70">
        <v>2</v>
      </c>
      <c r="F113" s="232" t="s">
        <v>232</v>
      </c>
      <c r="G113" s="70">
        <v>2</v>
      </c>
      <c r="H113" s="71" t="s">
        <v>92</v>
      </c>
      <c r="W113" s="24" t="str">
        <f>VLOOKUP(H113,Passnr!J:K,2,FALSE)</f>
        <v>D120112</v>
      </c>
      <c r="X113" s="24" t="str">
        <f aca="true" t="shared" si="20" ref="X113:X120">IF(W113=F113,"ok","falsch")</f>
        <v>ok</v>
      </c>
      <c r="Y113" s="27">
        <f t="shared" si="15"/>
        <v>23388</v>
      </c>
    </row>
    <row r="114" spans="1:25" ht="14.25">
      <c r="A114" s="24" t="str">
        <f t="shared" si="18"/>
        <v>Hau Druff Worms 3</v>
      </c>
      <c r="B114" s="76" t="str">
        <f t="shared" si="19"/>
        <v>Hau Druff Worms</v>
      </c>
      <c r="C114" s="70">
        <v>3</v>
      </c>
      <c r="D114" s="62">
        <v>24919</v>
      </c>
      <c r="E114" s="70">
        <v>3</v>
      </c>
      <c r="F114" s="232" t="s">
        <v>233</v>
      </c>
      <c r="G114" s="70">
        <v>3</v>
      </c>
      <c r="H114" s="71" t="s">
        <v>93</v>
      </c>
      <c r="W114" s="24" t="str">
        <f>VLOOKUP(H114,Passnr!J:K,2,FALSE)</f>
        <v>D120107</v>
      </c>
      <c r="X114" s="24" t="str">
        <f t="shared" si="20"/>
        <v>ok</v>
      </c>
      <c r="Y114" s="27">
        <f t="shared" si="15"/>
        <v>24919</v>
      </c>
    </row>
    <row r="115" spans="1:25" ht="14.25">
      <c r="A115" s="24" t="str">
        <f t="shared" si="18"/>
        <v>Hau Druff Worms 4</v>
      </c>
      <c r="B115" s="76" t="str">
        <f t="shared" si="19"/>
        <v>Hau Druff Worms</v>
      </c>
      <c r="C115" s="70">
        <v>4</v>
      </c>
      <c r="D115" s="62">
        <v>28904</v>
      </c>
      <c r="E115" s="70">
        <v>4</v>
      </c>
      <c r="F115" s="234" t="s">
        <v>213</v>
      </c>
      <c r="G115" s="70">
        <v>4</v>
      </c>
      <c r="H115" s="71" t="s">
        <v>73</v>
      </c>
      <c r="W115" s="24" t="str">
        <f>VLOOKUP(H115,Passnr!J:K,2,FALSE)</f>
        <v>D120108</v>
      </c>
      <c r="X115" s="24" t="str">
        <f t="shared" si="20"/>
        <v>ok</v>
      </c>
      <c r="Y115" s="27">
        <f t="shared" si="15"/>
        <v>28904</v>
      </c>
    </row>
    <row r="116" spans="1:25" ht="14.25">
      <c r="A116" s="24" t="str">
        <f t="shared" si="18"/>
        <v>Hau Druff Worms 5</v>
      </c>
      <c r="B116" s="76" t="str">
        <f t="shared" si="19"/>
        <v>Hau Druff Worms</v>
      </c>
      <c r="C116" s="70">
        <v>5</v>
      </c>
      <c r="D116" s="62">
        <v>20993</v>
      </c>
      <c r="E116" s="70">
        <v>5</v>
      </c>
      <c r="F116" s="232" t="s">
        <v>235</v>
      </c>
      <c r="G116" s="70">
        <v>5</v>
      </c>
      <c r="H116" s="71" t="s">
        <v>94</v>
      </c>
      <c r="W116" s="24" t="str">
        <f>VLOOKUP(H116,Passnr!J:K,2,FALSE)</f>
        <v>D059034</v>
      </c>
      <c r="X116" s="24" t="str">
        <f t="shared" si="20"/>
        <v>ok</v>
      </c>
      <c r="Y116" s="27">
        <f t="shared" si="15"/>
        <v>20993</v>
      </c>
    </row>
    <row r="117" spans="1:25" ht="14.25">
      <c r="A117" s="24" t="str">
        <f t="shared" si="18"/>
        <v>Hau Druff Worms 6</v>
      </c>
      <c r="B117" s="76" t="str">
        <f t="shared" si="19"/>
        <v>Hau Druff Worms</v>
      </c>
      <c r="C117" s="70">
        <v>6</v>
      </c>
      <c r="D117" s="62">
        <v>20579</v>
      </c>
      <c r="E117" s="70">
        <v>6</v>
      </c>
      <c r="F117" s="232" t="s">
        <v>236</v>
      </c>
      <c r="G117" s="70">
        <v>6</v>
      </c>
      <c r="H117" s="71" t="s">
        <v>95</v>
      </c>
      <c r="W117" s="24" t="str">
        <f>VLOOKUP(H117,Passnr!J:K,2,FALSE)</f>
        <v>D059035</v>
      </c>
      <c r="X117" s="24" t="str">
        <f t="shared" si="20"/>
        <v>ok</v>
      </c>
      <c r="Y117" s="27">
        <f t="shared" si="15"/>
        <v>20579</v>
      </c>
    </row>
    <row r="118" spans="1:25" ht="14.25">
      <c r="A118" s="24" t="str">
        <f t="shared" si="18"/>
        <v>Hau Druff Worms 7</v>
      </c>
      <c r="B118" s="76" t="str">
        <f t="shared" si="19"/>
        <v>Hau Druff Worms</v>
      </c>
      <c r="C118" s="70">
        <v>7</v>
      </c>
      <c r="D118" s="62">
        <v>18985</v>
      </c>
      <c r="E118" s="70">
        <v>7</v>
      </c>
      <c r="F118" s="232" t="s">
        <v>238</v>
      </c>
      <c r="G118" s="70">
        <v>7</v>
      </c>
      <c r="H118" s="71" t="s">
        <v>96</v>
      </c>
      <c r="W118" s="24" t="str">
        <f>VLOOKUP(H118,Passnr!J:K,2,FALSE)</f>
        <v>D120109</v>
      </c>
      <c r="X118" s="24" t="str">
        <f t="shared" si="20"/>
        <v>ok</v>
      </c>
      <c r="Y118" s="27">
        <f t="shared" si="15"/>
        <v>18985</v>
      </c>
    </row>
    <row r="119" spans="1:25" ht="14.25">
      <c r="A119" s="24" t="str">
        <f t="shared" si="18"/>
        <v>Hau Druff Worms 8</v>
      </c>
      <c r="B119" s="76" t="str">
        <f t="shared" si="19"/>
        <v>Hau Druff Worms</v>
      </c>
      <c r="C119" s="70">
        <v>8</v>
      </c>
      <c r="D119" s="62">
        <v>30115</v>
      </c>
      <c r="E119" s="231">
        <v>8</v>
      </c>
      <c r="F119" s="232" t="s">
        <v>557</v>
      </c>
      <c r="G119" s="231">
        <v>8</v>
      </c>
      <c r="H119" s="108" t="s">
        <v>558</v>
      </c>
      <c r="W119" s="24" t="str">
        <f>VLOOKUP(H119,Passnr!J:K,2,FALSE)</f>
        <v>D120171</v>
      </c>
      <c r="X119" s="24" t="str">
        <f t="shared" si="20"/>
        <v>ok</v>
      </c>
      <c r="Y119" s="27">
        <f t="shared" si="15"/>
        <v>30115</v>
      </c>
    </row>
    <row r="120" spans="1:25" ht="14.25">
      <c r="A120" s="24" t="str">
        <f t="shared" si="18"/>
        <v>Hau Druff Worms 9</v>
      </c>
      <c r="B120" s="76" t="str">
        <f t="shared" si="19"/>
        <v>Hau Druff Worms</v>
      </c>
      <c r="C120" s="70">
        <v>9</v>
      </c>
      <c r="D120" s="62">
        <v>35699</v>
      </c>
      <c r="E120" s="70">
        <v>9</v>
      </c>
      <c r="F120" s="64" t="s">
        <v>215</v>
      </c>
      <c r="G120" s="70">
        <v>9</v>
      </c>
      <c r="H120" s="108" t="s">
        <v>619</v>
      </c>
      <c r="W120" s="24" t="str">
        <f>VLOOKUP(H120,Passnr!J:K,2,FALSE)</f>
        <v>D059045</v>
      </c>
      <c r="X120" s="24" t="str">
        <f t="shared" si="20"/>
        <v>ok</v>
      </c>
      <c r="Y120" s="27">
        <f t="shared" si="15"/>
        <v>35699</v>
      </c>
    </row>
    <row r="121" spans="1:25" ht="14.25">
      <c r="A121" s="24" t="str">
        <f t="shared" si="18"/>
        <v>Hau Druff Worms 10</v>
      </c>
      <c r="B121" s="76" t="str">
        <f t="shared" si="19"/>
        <v>Hau Druff Worms</v>
      </c>
      <c r="C121" s="70">
        <v>10</v>
      </c>
      <c r="D121" s="62">
        <v>24483</v>
      </c>
      <c r="E121" s="70">
        <v>10</v>
      </c>
      <c r="F121" s="246" t="s">
        <v>239</v>
      </c>
      <c r="G121" s="70">
        <v>10</v>
      </c>
      <c r="H121" s="108" t="s">
        <v>624</v>
      </c>
      <c r="W121" s="24" t="str">
        <f>VLOOKUP(H121,Passnr!J:K,2,FALSE)</f>
        <v>D120102</v>
      </c>
      <c r="X121" s="24" t="str">
        <f>IF(W121=F121,"ok","falsch")</f>
        <v>ok</v>
      </c>
      <c r="Y121" s="27">
        <f t="shared" si="15"/>
        <v>24483</v>
      </c>
    </row>
    <row r="122" spans="1:25" ht="14.25">
      <c r="A122" s="24" t="str">
        <f t="shared" si="18"/>
        <v>Hau Druff Worms 11</v>
      </c>
      <c r="B122" s="76" t="str">
        <f t="shared" si="19"/>
        <v>Hau Druff Worms</v>
      </c>
      <c r="C122" s="70">
        <v>11</v>
      </c>
      <c r="D122" s="62">
        <v>24342</v>
      </c>
      <c r="E122" s="231">
        <v>11</v>
      </c>
      <c r="F122" s="246" t="s">
        <v>243</v>
      </c>
      <c r="G122" s="231">
        <v>11</v>
      </c>
      <c r="H122" s="108" t="s">
        <v>625</v>
      </c>
      <c r="W122" s="24" t="str">
        <f>VLOOKUP(H122,Passnr!J:K,2,FALSE)</f>
        <v>D120117</v>
      </c>
      <c r="X122" s="24" t="str">
        <f>IF(W122=F122,"ok","falsch")</f>
        <v>ok</v>
      </c>
      <c r="Y122" s="27">
        <f t="shared" si="15"/>
        <v>24342</v>
      </c>
    </row>
    <row r="123" spans="1:25" ht="14.25">
      <c r="A123" s="24" t="str">
        <f t="shared" si="18"/>
        <v>Hau Druff Worms 12</v>
      </c>
      <c r="B123" s="76" t="str">
        <f t="shared" si="19"/>
        <v>Hau Druff Worms</v>
      </c>
      <c r="C123" s="70">
        <v>12</v>
      </c>
      <c r="D123" s="62"/>
      <c r="E123" s="70">
        <v>12</v>
      </c>
      <c r="F123" s="64"/>
      <c r="G123" s="70">
        <v>12</v>
      </c>
      <c r="H123" s="71"/>
      <c r="Y123" s="27">
        <f t="shared" si="15"/>
        <v>0</v>
      </c>
    </row>
    <row r="124" spans="1:25" ht="14.25">
      <c r="A124" s="24" t="str">
        <f t="shared" si="18"/>
        <v>Hau Druff Worms 13</v>
      </c>
      <c r="B124" s="76" t="str">
        <f t="shared" si="19"/>
        <v>Hau Druff Worms</v>
      </c>
      <c r="C124" s="70">
        <v>13</v>
      </c>
      <c r="D124" s="62"/>
      <c r="E124" s="70">
        <v>13</v>
      </c>
      <c r="F124" s="64"/>
      <c r="G124" s="70">
        <v>13</v>
      </c>
      <c r="H124" s="71"/>
      <c r="Y124" s="27">
        <f t="shared" si="15"/>
        <v>0</v>
      </c>
    </row>
    <row r="125" spans="1:25" ht="14.25">
      <c r="A125" s="24" t="str">
        <f t="shared" si="18"/>
        <v>Hau Druff Worms 14</v>
      </c>
      <c r="B125" s="76" t="str">
        <f t="shared" si="19"/>
        <v>Hau Druff Worms</v>
      </c>
      <c r="C125" s="70">
        <v>14</v>
      </c>
      <c r="D125" s="62"/>
      <c r="E125" s="70">
        <v>14</v>
      </c>
      <c r="F125" s="64"/>
      <c r="G125" s="70">
        <v>14</v>
      </c>
      <c r="H125" s="71"/>
      <c r="Y125" s="27">
        <f t="shared" si="15"/>
        <v>0</v>
      </c>
    </row>
    <row r="126" spans="1:25" ht="14.25">
      <c r="A126" s="24" t="str">
        <f t="shared" si="18"/>
        <v>Hau Druff Worms 15</v>
      </c>
      <c r="B126" s="76" t="str">
        <f t="shared" si="19"/>
        <v>Hau Druff Worms</v>
      </c>
      <c r="C126" s="70">
        <v>15</v>
      </c>
      <c r="D126" s="62"/>
      <c r="E126" s="70">
        <v>15</v>
      </c>
      <c r="F126" s="64"/>
      <c r="G126" s="70">
        <v>15</v>
      </c>
      <c r="H126" s="71"/>
      <c r="Y126" s="27">
        <f t="shared" si="15"/>
        <v>0</v>
      </c>
    </row>
    <row r="127" spans="1:25" ht="14.25">
      <c r="A127" s="24" t="str">
        <f t="shared" si="18"/>
        <v>Hau Druff Worms 16</v>
      </c>
      <c r="B127" s="76" t="str">
        <f t="shared" si="19"/>
        <v>Hau Druff Worms</v>
      </c>
      <c r="C127" s="70">
        <v>16</v>
      </c>
      <c r="D127" s="62"/>
      <c r="E127" s="70">
        <v>16</v>
      </c>
      <c r="F127" s="64"/>
      <c r="G127" s="70">
        <v>16</v>
      </c>
      <c r="H127" s="71"/>
      <c r="Y127" s="27">
        <f t="shared" si="15"/>
        <v>0</v>
      </c>
    </row>
    <row r="128" spans="1:25" ht="14.25">
      <c r="A128" s="24" t="str">
        <f t="shared" si="18"/>
        <v>Hau Druff Worms 17</v>
      </c>
      <c r="B128" s="76" t="str">
        <f t="shared" si="19"/>
        <v>Hau Druff Worms</v>
      </c>
      <c r="C128" s="70">
        <v>17</v>
      </c>
      <c r="D128" s="62"/>
      <c r="E128" s="70">
        <v>17</v>
      </c>
      <c r="F128" s="64"/>
      <c r="G128" s="70">
        <v>17</v>
      </c>
      <c r="H128" s="71"/>
      <c r="Y128" s="27">
        <f t="shared" si="15"/>
        <v>0</v>
      </c>
    </row>
    <row r="129" spans="1:25" ht="14.25">
      <c r="A129" s="24" t="str">
        <f t="shared" si="18"/>
        <v>Hau Druff Worms 18</v>
      </c>
      <c r="B129" s="76" t="str">
        <f t="shared" si="19"/>
        <v>Hau Druff Worms</v>
      </c>
      <c r="C129" s="70">
        <v>18</v>
      </c>
      <c r="D129" s="62"/>
      <c r="E129" s="70">
        <v>18</v>
      </c>
      <c r="F129" s="64"/>
      <c r="G129" s="70">
        <v>18</v>
      </c>
      <c r="H129" s="71"/>
      <c r="Y129" s="27">
        <f t="shared" si="15"/>
        <v>0</v>
      </c>
    </row>
    <row r="130" spans="1:25" ht="14.25">
      <c r="A130" s="24" t="str">
        <f t="shared" si="18"/>
        <v>Hau Druff Worms 19</v>
      </c>
      <c r="B130" s="76" t="str">
        <f t="shared" si="19"/>
        <v>Hau Druff Worms</v>
      </c>
      <c r="C130" s="70">
        <v>19</v>
      </c>
      <c r="D130" s="62"/>
      <c r="E130" s="70">
        <v>19</v>
      </c>
      <c r="F130" s="64"/>
      <c r="G130" s="70">
        <v>19</v>
      </c>
      <c r="H130" s="71"/>
      <c r="Y130" s="27">
        <f t="shared" si="15"/>
        <v>0</v>
      </c>
    </row>
    <row r="131" spans="1:25" ht="14.25">
      <c r="A131" s="24" t="str">
        <f t="shared" si="18"/>
        <v>Hau Druff Worms 20</v>
      </c>
      <c r="B131" s="76" t="str">
        <f t="shared" si="19"/>
        <v>Hau Druff Worms</v>
      </c>
      <c r="C131" s="70">
        <v>20</v>
      </c>
      <c r="D131" s="62"/>
      <c r="E131" s="70">
        <v>20</v>
      </c>
      <c r="F131" s="64"/>
      <c r="G131" s="70">
        <v>20</v>
      </c>
      <c r="H131" s="71"/>
      <c r="Y131" s="27">
        <f t="shared" si="15"/>
        <v>0</v>
      </c>
    </row>
    <row r="132" spans="1:25" ht="14.25">
      <c r="A132" s="24" t="str">
        <f t="shared" si="18"/>
        <v>Hau Druff Worms 21</v>
      </c>
      <c r="B132" s="76" t="str">
        <f t="shared" si="19"/>
        <v>Hau Druff Worms</v>
      </c>
      <c r="C132" s="70">
        <v>21</v>
      </c>
      <c r="D132" s="62"/>
      <c r="E132" s="70">
        <v>21</v>
      </c>
      <c r="F132" s="64"/>
      <c r="G132" s="70">
        <v>21</v>
      </c>
      <c r="H132" s="71"/>
      <c r="Y132" s="27">
        <f t="shared" si="15"/>
        <v>0</v>
      </c>
    </row>
    <row r="133" spans="2:25" ht="25.5">
      <c r="B133" s="31"/>
      <c r="C133" s="34">
        <v>1</v>
      </c>
      <c r="D133" s="40"/>
      <c r="E133" s="34">
        <v>1</v>
      </c>
      <c r="F133" s="33"/>
      <c r="G133" s="34">
        <v>1</v>
      </c>
      <c r="H133" s="33"/>
      <c r="Y133" s="27">
        <f t="shared" si="15"/>
        <v>0</v>
      </c>
    </row>
    <row r="134" spans="1:25" ht="14.25">
      <c r="A134" s="24" t="str">
        <f t="shared" si="18"/>
        <v>0 2</v>
      </c>
      <c r="B134" s="76">
        <f aca="true" t="shared" si="21" ref="B134:B153">$B$133</f>
        <v>0</v>
      </c>
      <c r="C134" s="70">
        <v>2</v>
      </c>
      <c r="D134" s="85"/>
      <c r="E134" s="70">
        <v>2</v>
      </c>
      <c r="F134" s="235"/>
      <c r="G134" s="70">
        <v>2</v>
      </c>
      <c r="H134" s="91"/>
      <c r="O134" s="233"/>
      <c r="W134" s="24" t="e">
        <f>VLOOKUP(H134,Passnr!J:K,2,FALSE)</f>
        <v>#N/A</v>
      </c>
      <c r="Y134" s="27">
        <f aca="true" t="shared" si="22" ref="Y134:Y197">+D134</f>
        <v>0</v>
      </c>
    </row>
    <row r="135" spans="1:25" ht="14.25">
      <c r="A135" s="24" t="str">
        <f t="shared" si="18"/>
        <v>0 3</v>
      </c>
      <c r="B135" s="76">
        <f t="shared" si="21"/>
        <v>0</v>
      </c>
      <c r="C135" s="70">
        <v>3</v>
      </c>
      <c r="D135" s="86"/>
      <c r="E135" s="70">
        <v>3</v>
      </c>
      <c r="F135" s="235"/>
      <c r="G135" s="70">
        <v>3</v>
      </c>
      <c r="H135" s="92"/>
      <c r="O135" s="233"/>
      <c r="W135" s="24" t="e">
        <f>VLOOKUP(H135,Passnr!J:K,2,FALSE)</f>
        <v>#N/A</v>
      </c>
      <c r="Y135" s="27">
        <f t="shared" si="22"/>
        <v>0</v>
      </c>
    </row>
    <row r="136" spans="1:25" ht="14.25">
      <c r="A136" s="24" t="str">
        <f t="shared" si="18"/>
        <v>0 4</v>
      </c>
      <c r="B136" s="76">
        <f t="shared" si="21"/>
        <v>0</v>
      </c>
      <c r="C136" s="70">
        <v>4</v>
      </c>
      <c r="D136" s="86"/>
      <c r="E136" s="70">
        <v>4</v>
      </c>
      <c r="F136" s="235"/>
      <c r="G136" s="70">
        <v>4</v>
      </c>
      <c r="H136" s="92"/>
      <c r="O136" s="233"/>
      <c r="W136" s="24" t="e">
        <f>VLOOKUP(H136,Passnr!J:K,2,FALSE)</f>
        <v>#N/A</v>
      </c>
      <c r="Y136" s="27">
        <f t="shared" si="22"/>
        <v>0</v>
      </c>
    </row>
    <row r="137" spans="1:25" ht="14.25">
      <c r="A137" s="24" t="str">
        <f t="shared" si="18"/>
        <v>0 5</v>
      </c>
      <c r="B137" s="76">
        <f t="shared" si="21"/>
        <v>0</v>
      </c>
      <c r="C137" s="70">
        <v>5</v>
      </c>
      <c r="D137" s="86"/>
      <c r="E137" s="70">
        <v>5</v>
      </c>
      <c r="F137" s="235"/>
      <c r="G137" s="70">
        <v>5</v>
      </c>
      <c r="H137" s="92"/>
      <c r="O137" s="233"/>
      <c r="W137" s="24" t="e">
        <f>VLOOKUP(H137,Passnr!J:K,2,FALSE)</f>
        <v>#N/A</v>
      </c>
      <c r="Y137" s="27">
        <f t="shared" si="22"/>
        <v>0</v>
      </c>
    </row>
    <row r="138" spans="1:25" ht="14.25">
      <c r="A138" s="24" t="str">
        <f t="shared" si="18"/>
        <v>0 6</v>
      </c>
      <c r="B138" s="76">
        <f t="shared" si="21"/>
        <v>0</v>
      </c>
      <c r="C138" s="70">
        <v>6</v>
      </c>
      <c r="D138" s="88"/>
      <c r="E138" s="70">
        <v>6</v>
      </c>
      <c r="F138" s="235"/>
      <c r="G138" s="70">
        <v>6</v>
      </c>
      <c r="H138" s="71"/>
      <c r="O138" s="233"/>
      <c r="W138" s="24" t="e">
        <f>VLOOKUP(H138,Passnr!J:K,2,FALSE)</f>
        <v>#N/A</v>
      </c>
      <c r="Y138" s="27">
        <f t="shared" si="22"/>
        <v>0</v>
      </c>
    </row>
    <row r="139" spans="1:25" ht="14.25">
      <c r="A139" s="24" t="str">
        <f t="shared" si="18"/>
        <v>0 7</v>
      </c>
      <c r="B139" s="76">
        <f t="shared" si="21"/>
        <v>0</v>
      </c>
      <c r="C139" s="70">
        <v>7</v>
      </c>
      <c r="D139" s="86"/>
      <c r="E139" s="70">
        <v>7</v>
      </c>
      <c r="F139" s="235"/>
      <c r="G139" s="70">
        <v>7</v>
      </c>
      <c r="H139" s="92"/>
      <c r="O139" s="233"/>
      <c r="W139" s="24" t="e">
        <f>VLOOKUP(H139,Passnr!J:K,2,FALSE)</f>
        <v>#N/A</v>
      </c>
      <c r="Y139" s="27">
        <f t="shared" si="22"/>
        <v>0</v>
      </c>
    </row>
    <row r="140" spans="1:25" ht="14.25">
      <c r="A140" s="24" t="str">
        <f t="shared" si="18"/>
        <v>0 8</v>
      </c>
      <c r="B140" s="76">
        <f t="shared" si="21"/>
        <v>0</v>
      </c>
      <c r="C140" s="70">
        <v>8</v>
      </c>
      <c r="D140" s="62"/>
      <c r="E140" s="70">
        <v>8</v>
      </c>
      <c r="F140" s="75"/>
      <c r="G140" s="70">
        <v>8</v>
      </c>
      <c r="H140" s="108"/>
      <c r="O140" s="233"/>
      <c r="W140" s="24" t="e">
        <f>VLOOKUP(H140,Passnr!J:K,2,FALSE)</f>
        <v>#N/A</v>
      </c>
      <c r="Y140" s="27">
        <f t="shared" si="22"/>
        <v>0</v>
      </c>
    </row>
    <row r="141" spans="1:25" ht="14.25">
      <c r="A141" s="24" t="str">
        <f t="shared" si="18"/>
        <v>0 9</v>
      </c>
      <c r="B141" s="76">
        <f t="shared" si="21"/>
        <v>0</v>
      </c>
      <c r="C141" s="70">
        <v>9</v>
      </c>
      <c r="D141" s="62"/>
      <c r="E141" s="70">
        <v>9</v>
      </c>
      <c r="F141" s="75"/>
      <c r="G141" s="70">
        <v>9</v>
      </c>
      <c r="H141" s="108"/>
      <c r="O141" s="233"/>
      <c r="Y141" s="27">
        <f t="shared" si="22"/>
        <v>0</v>
      </c>
    </row>
    <row r="142" spans="1:25" ht="14.25">
      <c r="A142" s="24" t="str">
        <f t="shared" si="18"/>
        <v>0 10</v>
      </c>
      <c r="B142" s="76">
        <f t="shared" si="21"/>
        <v>0</v>
      </c>
      <c r="C142" s="70">
        <v>10</v>
      </c>
      <c r="D142" s="62"/>
      <c r="E142" s="70">
        <v>10</v>
      </c>
      <c r="F142" s="75"/>
      <c r="G142" s="70">
        <v>10</v>
      </c>
      <c r="H142" s="108"/>
      <c r="O142" s="233"/>
      <c r="Y142" s="27">
        <f t="shared" si="22"/>
        <v>0</v>
      </c>
    </row>
    <row r="143" spans="1:25" ht="14.25">
      <c r="A143" s="24" t="str">
        <f t="shared" si="18"/>
        <v>0 11</v>
      </c>
      <c r="B143" s="76">
        <f t="shared" si="21"/>
        <v>0</v>
      </c>
      <c r="C143" s="70">
        <v>11</v>
      </c>
      <c r="D143" s="62"/>
      <c r="E143" s="70">
        <v>11</v>
      </c>
      <c r="F143" s="64"/>
      <c r="G143" s="70">
        <v>11</v>
      </c>
      <c r="H143" s="67"/>
      <c r="Y143" s="27">
        <f t="shared" si="22"/>
        <v>0</v>
      </c>
    </row>
    <row r="144" spans="1:25" ht="14.25">
      <c r="A144" s="24" t="str">
        <f t="shared" si="18"/>
        <v>0 12</v>
      </c>
      <c r="B144" s="76">
        <f t="shared" si="21"/>
        <v>0</v>
      </c>
      <c r="C144" s="70">
        <v>12</v>
      </c>
      <c r="D144" s="62"/>
      <c r="E144" s="70">
        <v>12</v>
      </c>
      <c r="F144" s="64"/>
      <c r="G144" s="70">
        <v>12</v>
      </c>
      <c r="H144" s="67"/>
      <c r="Y144" s="27">
        <f t="shared" si="22"/>
        <v>0</v>
      </c>
    </row>
    <row r="145" spans="1:25" ht="14.25">
      <c r="A145" s="24" t="str">
        <f t="shared" si="18"/>
        <v>0 13</v>
      </c>
      <c r="B145" s="76">
        <f t="shared" si="21"/>
        <v>0</v>
      </c>
      <c r="C145" s="70">
        <v>13</v>
      </c>
      <c r="D145" s="62"/>
      <c r="E145" s="70">
        <v>13</v>
      </c>
      <c r="F145" s="64"/>
      <c r="G145" s="70">
        <v>13</v>
      </c>
      <c r="H145" s="67"/>
      <c r="Y145" s="27">
        <f t="shared" si="22"/>
        <v>0</v>
      </c>
    </row>
    <row r="146" spans="1:25" ht="14.25">
      <c r="A146" s="24" t="str">
        <f t="shared" si="18"/>
        <v>0 14</v>
      </c>
      <c r="B146" s="76">
        <f t="shared" si="21"/>
        <v>0</v>
      </c>
      <c r="C146" s="70">
        <v>14</v>
      </c>
      <c r="D146" s="62"/>
      <c r="E146" s="70">
        <v>14</v>
      </c>
      <c r="F146" s="64"/>
      <c r="G146" s="70">
        <v>14</v>
      </c>
      <c r="H146" s="67"/>
      <c r="Y146" s="27">
        <f t="shared" si="22"/>
        <v>0</v>
      </c>
    </row>
    <row r="147" spans="1:25" ht="14.25">
      <c r="A147" s="24" t="str">
        <f t="shared" si="18"/>
        <v>0 15</v>
      </c>
      <c r="B147" s="76">
        <f t="shared" si="21"/>
        <v>0</v>
      </c>
      <c r="C147" s="70">
        <v>15</v>
      </c>
      <c r="D147" s="62"/>
      <c r="E147" s="70">
        <v>15</v>
      </c>
      <c r="F147" s="64"/>
      <c r="G147" s="70">
        <v>15</v>
      </c>
      <c r="H147" s="67"/>
      <c r="Y147" s="27">
        <f t="shared" si="22"/>
        <v>0</v>
      </c>
    </row>
    <row r="148" spans="1:25" ht="14.25">
      <c r="A148" s="24" t="str">
        <f t="shared" si="18"/>
        <v>0 16</v>
      </c>
      <c r="B148" s="76">
        <f t="shared" si="21"/>
        <v>0</v>
      </c>
      <c r="C148" s="70">
        <v>16</v>
      </c>
      <c r="D148" s="62"/>
      <c r="E148" s="70">
        <v>16</v>
      </c>
      <c r="F148" s="64"/>
      <c r="G148" s="70">
        <v>16</v>
      </c>
      <c r="H148" s="67"/>
      <c r="Y148" s="27">
        <f t="shared" si="22"/>
        <v>0</v>
      </c>
    </row>
    <row r="149" spans="1:25" ht="14.25">
      <c r="A149" s="24" t="str">
        <f t="shared" si="18"/>
        <v>0 17</v>
      </c>
      <c r="B149" s="76">
        <f t="shared" si="21"/>
        <v>0</v>
      </c>
      <c r="C149" s="70">
        <v>17</v>
      </c>
      <c r="D149" s="62"/>
      <c r="E149" s="70">
        <v>17</v>
      </c>
      <c r="F149" s="64"/>
      <c r="G149" s="70">
        <v>17</v>
      </c>
      <c r="H149" s="67"/>
      <c r="Y149" s="27">
        <f t="shared" si="22"/>
        <v>0</v>
      </c>
    </row>
    <row r="150" spans="1:25" ht="14.25">
      <c r="A150" s="24" t="str">
        <f t="shared" si="18"/>
        <v>0 18</v>
      </c>
      <c r="B150" s="76">
        <f t="shared" si="21"/>
        <v>0</v>
      </c>
      <c r="C150" s="70">
        <v>18</v>
      </c>
      <c r="D150" s="62"/>
      <c r="E150" s="70">
        <v>18</v>
      </c>
      <c r="F150" s="64"/>
      <c r="G150" s="70">
        <v>18</v>
      </c>
      <c r="H150" s="67"/>
      <c r="Y150" s="27">
        <f t="shared" si="22"/>
        <v>0</v>
      </c>
    </row>
    <row r="151" spans="1:25" ht="14.25">
      <c r="A151" s="24" t="str">
        <f t="shared" si="18"/>
        <v>0 19</v>
      </c>
      <c r="B151" s="76">
        <f t="shared" si="21"/>
        <v>0</v>
      </c>
      <c r="C151" s="70">
        <v>19</v>
      </c>
      <c r="D151" s="62"/>
      <c r="E151" s="70">
        <v>19</v>
      </c>
      <c r="F151" s="64"/>
      <c r="G151" s="70">
        <v>19</v>
      </c>
      <c r="H151" s="67"/>
      <c r="Y151" s="27">
        <f t="shared" si="22"/>
        <v>0</v>
      </c>
    </row>
    <row r="152" spans="1:25" ht="14.25">
      <c r="A152" s="24" t="str">
        <f t="shared" si="18"/>
        <v>0 20</v>
      </c>
      <c r="B152" s="76">
        <f t="shared" si="21"/>
        <v>0</v>
      </c>
      <c r="C152" s="70">
        <v>20</v>
      </c>
      <c r="D152" s="62"/>
      <c r="E152" s="70">
        <v>20</v>
      </c>
      <c r="F152" s="64"/>
      <c r="G152" s="70">
        <v>20</v>
      </c>
      <c r="H152" s="67"/>
      <c r="Y152" s="27">
        <f t="shared" si="22"/>
        <v>0</v>
      </c>
    </row>
    <row r="153" spans="1:25" ht="14.25">
      <c r="A153" s="24" t="str">
        <f t="shared" si="18"/>
        <v>0 21</v>
      </c>
      <c r="B153" s="76">
        <f t="shared" si="21"/>
        <v>0</v>
      </c>
      <c r="C153" s="70">
        <v>21</v>
      </c>
      <c r="D153" s="62"/>
      <c r="E153" s="70">
        <v>21</v>
      </c>
      <c r="F153" s="64"/>
      <c r="G153" s="70">
        <v>21</v>
      </c>
      <c r="H153" s="67"/>
      <c r="Y153" s="27">
        <f t="shared" si="22"/>
        <v>0</v>
      </c>
    </row>
    <row r="154" spans="2:25" ht="25.5">
      <c r="B154" s="31" t="s">
        <v>606</v>
      </c>
      <c r="C154" s="34">
        <v>1</v>
      </c>
      <c r="D154" s="40"/>
      <c r="E154" s="34">
        <v>1</v>
      </c>
      <c r="F154" s="33"/>
      <c r="G154" s="34">
        <v>1</v>
      </c>
      <c r="H154" s="33"/>
      <c r="Y154" s="27">
        <f t="shared" si="22"/>
        <v>0</v>
      </c>
    </row>
    <row r="155" spans="1:25" ht="14.25">
      <c r="A155" s="24" t="str">
        <f t="shared" si="18"/>
        <v>Voll Druff Kirrlach I 2</v>
      </c>
      <c r="B155" s="76" t="str">
        <f aca="true" t="shared" si="23" ref="B155:B175">$B$154</f>
        <v>Voll Druff Kirrlach I</v>
      </c>
      <c r="C155" s="70">
        <v>2</v>
      </c>
      <c r="D155" s="62">
        <v>21943</v>
      </c>
      <c r="E155" s="70">
        <v>2</v>
      </c>
      <c r="F155" s="234" t="s">
        <v>246</v>
      </c>
      <c r="G155" s="70">
        <v>2</v>
      </c>
      <c r="H155" s="71" t="s">
        <v>87</v>
      </c>
      <c r="W155" s="24" t="str">
        <f>VLOOKUP(H155,Passnr!J:K,2,FALSE)</f>
        <v>D059048</v>
      </c>
      <c r="X155" s="24" t="str">
        <f>IF(W155=F155,"ok","falsch")</f>
        <v>ok</v>
      </c>
      <c r="Y155" s="27">
        <f t="shared" si="22"/>
        <v>21943</v>
      </c>
    </row>
    <row r="156" spans="1:25" ht="14.25">
      <c r="A156" s="24" t="str">
        <f t="shared" si="18"/>
        <v>Voll Druff Kirrlach I 3</v>
      </c>
      <c r="B156" s="76" t="str">
        <f t="shared" si="23"/>
        <v>Voll Druff Kirrlach I</v>
      </c>
      <c r="C156" s="70">
        <v>3</v>
      </c>
      <c r="D156" s="62">
        <v>18185</v>
      </c>
      <c r="E156" s="70">
        <v>3</v>
      </c>
      <c r="F156" s="234" t="s">
        <v>248</v>
      </c>
      <c r="G156" s="70">
        <v>3</v>
      </c>
      <c r="H156" s="71" t="s">
        <v>88</v>
      </c>
      <c r="W156" s="24" t="str">
        <f>VLOOKUP(H156,Passnr!J:K,2,FALSE)</f>
        <v>D059029</v>
      </c>
      <c r="X156" s="24" t="str">
        <f aca="true" t="shared" si="24" ref="X156:X172">IF(W156=F156,"ok","falsch")</f>
        <v>ok</v>
      </c>
      <c r="Y156" s="27">
        <f t="shared" si="22"/>
        <v>18185</v>
      </c>
    </row>
    <row r="157" spans="1:25" ht="14.25">
      <c r="A157" s="24" t="str">
        <f aca="true" t="shared" si="25" ref="A157:A221">+B157&amp;" "&amp;C157</f>
        <v>Voll Druff Kirrlach I 4</v>
      </c>
      <c r="B157" s="76" t="str">
        <f t="shared" si="23"/>
        <v>Voll Druff Kirrlach I</v>
      </c>
      <c r="C157" s="70">
        <v>4</v>
      </c>
      <c r="D157" s="62">
        <v>19782</v>
      </c>
      <c r="E157" s="70">
        <v>4</v>
      </c>
      <c r="F157" s="234" t="s">
        <v>249</v>
      </c>
      <c r="G157" s="70">
        <v>4</v>
      </c>
      <c r="H157" s="71" t="s">
        <v>89</v>
      </c>
      <c r="W157" s="24" t="str">
        <f>VLOOKUP(H157,Passnr!J:K,2,FALSE)</f>
        <v>D059047</v>
      </c>
      <c r="X157" s="24" t="str">
        <f t="shared" si="24"/>
        <v>ok</v>
      </c>
      <c r="Y157" s="27">
        <f t="shared" si="22"/>
        <v>19782</v>
      </c>
    </row>
    <row r="158" spans="1:25" ht="14.25">
      <c r="A158" s="24" t="str">
        <f t="shared" si="25"/>
        <v>Voll Druff Kirrlach I 5</v>
      </c>
      <c r="B158" s="76" t="str">
        <f t="shared" si="23"/>
        <v>Voll Druff Kirrlach I</v>
      </c>
      <c r="C158" s="70">
        <v>5</v>
      </c>
      <c r="D158" s="62">
        <v>23468</v>
      </c>
      <c r="E158" s="70">
        <v>5</v>
      </c>
      <c r="F158" s="234" t="s">
        <v>250</v>
      </c>
      <c r="G158" s="70">
        <v>5</v>
      </c>
      <c r="H158" s="71" t="s">
        <v>90</v>
      </c>
      <c r="W158" s="24" t="str">
        <f>VLOOKUP(H158,Passnr!J:K,2,FALSE)</f>
        <v>D059046</v>
      </c>
      <c r="X158" s="24" t="str">
        <f t="shared" si="24"/>
        <v>ok</v>
      </c>
      <c r="Y158" s="27">
        <f t="shared" si="22"/>
        <v>23468</v>
      </c>
    </row>
    <row r="159" spans="1:25" ht="14.25">
      <c r="A159" s="24" t="str">
        <f t="shared" si="25"/>
        <v>Voll Druff Kirrlach I 6</v>
      </c>
      <c r="B159" s="76" t="str">
        <f t="shared" si="23"/>
        <v>Voll Druff Kirrlach I</v>
      </c>
      <c r="C159" s="70">
        <v>6</v>
      </c>
      <c r="D159" s="62">
        <v>20447</v>
      </c>
      <c r="E159" s="70">
        <v>6</v>
      </c>
      <c r="F159" s="75" t="s">
        <v>300</v>
      </c>
      <c r="G159" s="70">
        <v>6</v>
      </c>
      <c r="H159" s="71" t="s">
        <v>80</v>
      </c>
      <c r="W159" s="24" t="str">
        <f>VLOOKUP(H159,Passnr!J:K,2,FALSE)</f>
        <v>D059023</v>
      </c>
      <c r="X159" s="24" t="str">
        <f t="shared" si="24"/>
        <v>ok</v>
      </c>
      <c r="Y159" s="27">
        <f t="shared" si="22"/>
        <v>20447</v>
      </c>
    </row>
    <row r="160" spans="1:25" ht="14.25">
      <c r="A160" s="24" t="str">
        <f t="shared" si="25"/>
        <v>Voll Druff Kirrlach I 7</v>
      </c>
      <c r="B160" s="76" t="str">
        <f t="shared" si="23"/>
        <v>Voll Druff Kirrlach I</v>
      </c>
      <c r="C160" s="70">
        <v>7</v>
      </c>
      <c r="D160" s="62">
        <v>19332</v>
      </c>
      <c r="E160" s="70">
        <v>7</v>
      </c>
      <c r="F160" s="232" t="s">
        <v>223</v>
      </c>
      <c r="G160" s="70">
        <v>7</v>
      </c>
      <c r="H160" s="71" t="s">
        <v>81</v>
      </c>
      <c r="W160" s="24" t="str">
        <f>VLOOKUP(H160,Passnr!J:K,2,FALSE)</f>
        <v>D120114</v>
      </c>
      <c r="X160" s="24" t="str">
        <f t="shared" si="24"/>
        <v>ok</v>
      </c>
      <c r="Y160" s="27">
        <f t="shared" si="22"/>
        <v>19332</v>
      </c>
    </row>
    <row r="161" spans="1:25" ht="14.25">
      <c r="A161" s="24" t="str">
        <f t="shared" si="25"/>
        <v>Voll Druff Kirrlach I 8</v>
      </c>
      <c r="B161" s="76" t="str">
        <f t="shared" si="23"/>
        <v>Voll Druff Kirrlach I</v>
      </c>
      <c r="C161" s="70">
        <v>8</v>
      </c>
      <c r="D161" s="62">
        <v>21513</v>
      </c>
      <c r="E161" s="70">
        <v>8</v>
      </c>
      <c r="F161" s="232" t="s">
        <v>224</v>
      </c>
      <c r="G161" s="70">
        <v>8</v>
      </c>
      <c r="H161" s="71" t="s">
        <v>83</v>
      </c>
      <c r="W161" s="24" t="str">
        <f>VLOOKUP(H161,Passnr!J:K,2,FALSE)</f>
        <v>D120113</v>
      </c>
      <c r="X161" s="24" t="str">
        <f t="shared" si="24"/>
        <v>ok</v>
      </c>
      <c r="Y161" s="27">
        <f t="shared" si="22"/>
        <v>21513</v>
      </c>
    </row>
    <row r="162" spans="1:25" ht="14.25">
      <c r="A162" s="24" t="str">
        <f t="shared" si="25"/>
        <v>Voll Druff Kirrlach I 9</v>
      </c>
      <c r="B162" s="76" t="str">
        <f t="shared" si="23"/>
        <v>Voll Druff Kirrlach I</v>
      </c>
      <c r="C162" s="70">
        <v>9</v>
      </c>
      <c r="D162" s="62">
        <v>31861</v>
      </c>
      <c r="E162" s="70">
        <v>9</v>
      </c>
      <c r="F162" s="232" t="s">
        <v>196</v>
      </c>
      <c r="G162" s="70">
        <v>9</v>
      </c>
      <c r="H162" s="108" t="s">
        <v>191</v>
      </c>
      <c r="W162" s="24" t="str">
        <f>VLOOKUP(H162,Passnr!J:K,2,FALSE)</f>
        <v>D059024</v>
      </c>
      <c r="X162" s="24" t="str">
        <f t="shared" si="24"/>
        <v>ok</v>
      </c>
      <c r="Y162" s="27">
        <f t="shared" si="22"/>
        <v>31861</v>
      </c>
    </row>
    <row r="163" spans="1:25" ht="14.25">
      <c r="A163" s="24" t="str">
        <f t="shared" si="25"/>
        <v>Voll Druff Kirrlach I 10</v>
      </c>
      <c r="B163" s="76" t="str">
        <f t="shared" si="23"/>
        <v>Voll Druff Kirrlach I</v>
      </c>
      <c r="C163" s="70">
        <v>10</v>
      </c>
      <c r="D163" s="62">
        <v>19446</v>
      </c>
      <c r="E163" s="70">
        <v>10</v>
      </c>
      <c r="F163" s="64" t="s">
        <v>554</v>
      </c>
      <c r="G163" s="70">
        <v>10</v>
      </c>
      <c r="H163" s="108" t="s">
        <v>555</v>
      </c>
      <c r="W163" s="24" t="str">
        <f>VLOOKUP(H163,Passnr!J:K,2,FALSE)</f>
        <v>D120164</v>
      </c>
      <c r="X163" s="24" t="str">
        <f t="shared" si="24"/>
        <v>ok</v>
      </c>
      <c r="Y163" s="27">
        <f t="shared" si="22"/>
        <v>19446</v>
      </c>
    </row>
    <row r="164" spans="1:25" ht="14.25">
      <c r="A164" s="24" t="str">
        <f t="shared" si="25"/>
        <v>Voll Druff Kirrlach I 11</v>
      </c>
      <c r="B164" s="76" t="str">
        <f t="shared" si="23"/>
        <v>Voll Druff Kirrlach I</v>
      </c>
      <c r="C164" s="70">
        <v>11</v>
      </c>
      <c r="D164" s="62">
        <v>30701</v>
      </c>
      <c r="E164" s="70">
        <v>11</v>
      </c>
      <c r="F164" s="232" t="s">
        <v>197</v>
      </c>
      <c r="G164" s="70">
        <v>11</v>
      </c>
      <c r="H164" s="108" t="s">
        <v>192</v>
      </c>
      <c r="W164" s="24" t="str">
        <f>VLOOKUP(H164,Passnr!J:K,2,FALSE)</f>
        <v>D059025</v>
      </c>
      <c r="X164" s="24" t="str">
        <f t="shared" si="24"/>
        <v>ok</v>
      </c>
      <c r="Y164" s="27">
        <f t="shared" si="22"/>
        <v>30701</v>
      </c>
    </row>
    <row r="165" spans="1:25" ht="14.25">
      <c r="A165" s="24" t="str">
        <f t="shared" si="25"/>
        <v>Voll Druff Kirrlach I 12</v>
      </c>
      <c r="B165" s="76" t="str">
        <f t="shared" si="23"/>
        <v>Voll Druff Kirrlach I</v>
      </c>
      <c r="C165" s="70">
        <v>12</v>
      </c>
      <c r="D165" s="62">
        <v>27626</v>
      </c>
      <c r="E165" s="70">
        <v>12</v>
      </c>
      <c r="F165" s="64" t="s">
        <v>610</v>
      </c>
      <c r="G165" s="70">
        <v>12</v>
      </c>
      <c r="H165" s="108" t="s">
        <v>611</v>
      </c>
      <c r="W165" s="24" t="str">
        <f>VLOOKUP(H165,Passnr!J:K,2,FALSE)</f>
        <v>D120175</v>
      </c>
      <c r="X165" s="24" t="str">
        <f t="shared" si="24"/>
        <v>ok</v>
      </c>
      <c r="Y165" s="27">
        <f t="shared" si="22"/>
        <v>27626</v>
      </c>
    </row>
    <row r="166" spans="1:25" ht="14.25">
      <c r="A166" s="24" t="str">
        <f t="shared" si="25"/>
        <v>Voll Druff Kirrlach I 13</v>
      </c>
      <c r="B166" s="76" t="str">
        <f t="shared" si="23"/>
        <v>Voll Druff Kirrlach I</v>
      </c>
      <c r="C166" s="70">
        <v>13</v>
      </c>
      <c r="D166" s="62">
        <v>21205</v>
      </c>
      <c r="E166" s="70">
        <v>13</v>
      </c>
      <c r="F166" s="64" t="s">
        <v>332</v>
      </c>
      <c r="G166" s="70">
        <v>13</v>
      </c>
      <c r="H166" s="108" t="s">
        <v>621</v>
      </c>
      <c r="W166" s="24" t="str">
        <f>VLOOKUP(H166,Passnr!J:K,2,FALSE)</f>
        <v>D059012</v>
      </c>
      <c r="X166" s="24" t="str">
        <f t="shared" si="24"/>
        <v>ok</v>
      </c>
      <c r="Y166" s="27">
        <f t="shared" si="22"/>
        <v>21205</v>
      </c>
    </row>
    <row r="167" spans="1:25" ht="14.25">
      <c r="A167" s="24" t="str">
        <f t="shared" si="25"/>
        <v>Voll Druff Kirrlach I 14</v>
      </c>
      <c r="B167" s="76" t="str">
        <f t="shared" si="23"/>
        <v>Voll Druff Kirrlach I</v>
      </c>
      <c r="C167" s="70">
        <v>14</v>
      </c>
      <c r="D167" s="62">
        <v>20422</v>
      </c>
      <c r="E167" s="70">
        <v>14</v>
      </c>
      <c r="F167" s="64" t="s">
        <v>623</v>
      </c>
      <c r="G167" s="70">
        <v>14</v>
      </c>
      <c r="H167" s="108" t="s">
        <v>622</v>
      </c>
      <c r="W167" s="24" t="str">
        <f>VLOOKUP(H167,Passnr!J:K,2,FALSE)</f>
        <v>D059018</v>
      </c>
      <c r="X167" s="24" t="str">
        <f t="shared" si="24"/>
        <v>ok</v>
      </c>
      <c r="Y167" s="27">
        <f t="shared" si="22"/>
        <v>20422</v>
      </c>
    </row>
    <row r="168" spans="1:25" ht="14.25">
      <c r="A168" s="24" t="str">
        <f t="shared" si="25"/>
        <v>Voll Druff Kirrlach I 15</v>
      </c>
      <c r="B168" s="76" t="str">
        <f t="shared" si="23"/>
        <v>Voll Druff Kirrlach I</v>
      </c>
      <c r="C168" s="70">
        <v>15</v>
      </c>
      <c r="D168" s="62">
        <v>34282</v>
      </c>
      <c r="E168" s="70">
        <v>15</v>
      </c>
      <c r="F168" s="232" t="s">
        <v>553</v>
      </c>
      <c r="G168" s="70">
        <v>15</v>
      </c>
      <c r="H168" s="229" t="s">
        <v>653</v>
      </c>
      <c r="W168" s="24" t="str">
        <f>VLOOKUP(H168,Passnr!J:K,2,FALSE)</f>
        <v>D120158</v>
      </c>
      <c r="X168" s="24" t="str">
        <f t="shared" si="24"/>
        <v>ok</v>
      </c>
      <c r="Y168" s="27">
        <f t="shared" si="22"/>
        <v>34282</v>
      </c>
    </row>
    <row r="169" spans="1:25" ht="14.25">
      <c r="A169" s="24" t="str">
        <f t="shared" si="25"/>
        <v>Voll Druff Kirrlach I 16</v>
      </c>
      <c r="B169" s="76" t="str">
        <f t="shared" si="23"/>
        <v>Voll Druff Kirrlach I</v>
      </c>
      <c r="C169" s="70">
        <v>16</v>
      </c>
      <c r="D169" s="86">
        <v>23441</v>
      </c>
      <c r="E169" s="70">
        <v>16</v>
      </c>
      <c r="F169" s="235" t="s">
        <v>245</v>
      </c>
      <c r="G169" s="70">
        <v>16</v>
      </c>
      <c r="H169" s="92" t="s">
        <v>82</v>
      </c>
      <c r="W169" s="24" t="str">
        <f>VLOOKUP(H169,Passnr!J:K,2,FALSE)</f>
        <v>D120125</v>
      </c>
      <c r="X169" s="24" t="str">
        <f t="shared" si="24"/>
        <v>ok</v>
      </c>
      <c r="Y169" s="27">
        <f t="shared" si="22"/>
        <v>23441</v>
      </c>
    </row>
    <row r="170" spans="1:25" ht="14.25">
      <c r="A170" s="24" t="str">
        <f t="shared" si="25"/>
        <v>Voll Druff Kirrlach I 17</v>
      </c>
      <c r="B170" s="76" t="str">
        <f t="shared" si="23"/>
        <v>Voll Druff Kirrlach I</v>
      </c>
      <c r="C170" s="70">
        <v>17</v>
      </c>
      <c r="D170" s="62">
        <v>24539</v>
      </c>
      <c r="E170" s="70">
        <v>17</v>
      </c>
      <c r="F170" s="235" t="s">
        <v>638</v>
      </c>
      <c r="G170" s="70">
        <v>17</v>
      </c>
      <c r="H170" s="108" t="s">
        <v>635</v>
      </c>
      <c r="W170" s="24" t="str">
        <f>VLOOKUP(H170,Passnr!J:K,2,FALSE)</f>
        <v>D153431</v>
      </c>
      <c r="X170" s="24" t="str">
        <f t="shared" si="24"/>
        <v>ok</v>
      </c>
      <c r="Y170" s="27">
        <f t="shared" si="22"/>
        <v>24539</v>
      </c>
    </row>
    <row r="171" spans="1:25" ht="14.25">
      <c r="A171" s="24" t="str">
        <f t="shared" si="25"/>
        <v>Voll Druff Kirrlach I 18</v>
      </c>
      <c r="B171" s="76" t="str">
        <f t="shared" si="23"/>
        <v>Voll Druff Kirrlach I</v>
      </c>
      <c r="C171" s="70">
        <v>18</v>
      </c>
      <c r="D171" s="62">
        <v>25426</v>
      </c>
      <c r="E171" s="70">
        <v>18</v>
      </c>
      <c r="F171" s="235" t="s">
        <v>639</v>
      </c>
      <c r="G171" s="70">
        <v>18</v>
      </c>
      <c r="H171" s="108" t="s">
        <v>636</v>
      </c>
      <c r="W171" s="24" t="str">
        <f>VLOOKUP(H171,Passnr!J:K,2,FALSE)</f>
        <v>D153433</v>
      </c>
      <c r="X171" s="24" t="str">
        <f t="shared" si="24"/>
        <v>ok</v>
      </c>
      <c r="Y171" s="27">
        <f t="shared" si="22"/>
        <v>25426</v>
      </c>
    </row>
    <row r="172" spans="1:25" ht="14.25">
      <c r="A172" s="24" t="str">
        <f t="shared" si="25"/>
        <v>Voll Druff Kirrlach I 19</v>
      </c>
      <c r="B172" s="76" t="str">
        <f t="shared" si="23"/>
        <v>Voll Druff Kirrlach I</v>
      </c>
      <c r="C172" s="70">
        <v>19</v>
      </c>
      <c r="D172" s="62">
        <v>25090</v>
      </c>
      <c r="E172" s="70">
        <v>19</v>
      </c>
      <c r="F172" s="235" t="s">
        <v>640</v>
      </c>
      <c r="G172" s="70">
        <v>19</v>
      </c>
      <c r="H172" s="108" t="s">
        <v>637</v>
      </c>
      <c r="W172" s="24" t="str">
        <f>VLOOKUP(H172,Passnr!J:K,2,FALSE)</f>
        <v>D153432</v>
      </c>
      <c r="X172" s="24" t="str">
        <f t="shared" si="24"/>
        <v>ok</v>
      </c>
      <c r="Y172" s="27">
        <f t="shared" si="22"/>
        <v>25090</v>
      </c>
    </row>
    <row r="173" spans="1:25" ht="14.25">
      <c r="A173" s="24" t="str">
        <f t="shared" si="25"/>
        <v>Voll Druff Kirrlach I 20</v>
      </c>
      <c r="B173" s="76" t="str">
        <f t="shared" si="23"/>
        <v>Voll Druff Kirrlach I</v>
      </c>
      <c r="C173" s="70">
        <v>20</v>
      </c>
      <c r="D173" s="62"/>
      <c r="E173" s="70">
        <v>20</v>
      </c>
      <c r="F173" s="235"/>
      <c r="G173" s="70">
        <v>20</v>
      </c>
      <c r="H173" s="108"/>
      <c r="Y173" s="27">
        <f t="shared" si="22"/>
        <v>0</v>
      </c>
    </row>
    <row r="174" spans="1:25" ht="14.25">
      <c r="A174" s="110" t="str">
        <f t="shared" si="25"/>
        <v>Voll Druff Kirrlach I 21</v>
      </c>
      <c r="B174" s="76" t="str">
        <f t="shared" si="23"/>
        <v>Voll Druff Kirrlach I</v>
      </c>
      <c r="C174" s="70">
        <v>21</v>
      </c>
      <c r="D174" s="62"/>
      <c r="E174" s="70">
        <v>21</v>
      </c>
      <c r="F174" s="235"/>
      <c r="G174" s="70">
        <v>21</v>
      </c>
      <c r="H174" s="108"/>
      <c r="Y174" s="27">
        <f t="shared" si="22"/>
        <v>0</v>
      </c>
    </row>
    <row r="175" spans="1:25" ht="14.25">
      <c r="A175" s="24" t="str">
        <f t="shared" si="25"/>
        <v>Voll Druff Kirrlach I 22</v>
      </c>
      <c r="B175" s="76" t="str">
        <f t="shared" si="23"/>
        <v>Voll Druff Kirrlach I</v>
      </c>
      <c r="C175" s="70">
        <v>22</v>
      </c>
      <c r="D175" s="62"/>
      <c r="E175" s="70">
        <v>22</v>
      </c>
      <c r="F175" s="235"/>
      <c r="G175" s="70">
        <v>22</v>
      </c>
      <c r="H175" s="108"/>
      <c r="Y175" s="27">
        <f t="shared" si="22"/>
        <v>0</v>
      </c>
    </row>
    <row r="176" spans="2:25" ht="25.5">
      <c r="B176" s="31" t="s">
        <v>609</v>
      </c>
      <c r="C176" s="34">
        <v>1</v>
      </c>
      <c r="D176" s="40"/>
      <c r="E176" s="34">
        <v>1</v>
      </c>
      <c r="F176" s="33"/>
      <c r="G176" s="34">
        <v>1</v>
      </c>
      <c r="H176" s="33"/>
      <c r="Y176" s="27">
        <f t="shared" si="22"/>
        <v>0</v>
      </c>
    </row>
    <row r="177" spans="1:25" ht="14.25">
      <c r="A177" s="24" t="str">
        <f t="shared" si="25"/>
        <v>Familienbande 2</v>
      </c>
      <c r="B177" s="76" t="str">
        <f>+$B$176</f>
        <v>Familienbande</v>
      </c>
      <c r="C177" s="70">
        <v>2</v>
      </c>
      <c r="D177" s="62">
        <v>20183</v>
      </c>
      <c r="E177" s="70">
        <v>2</v>
      </c>
      <c r="F177" s="234" t="s">
        <v>253</v>
      </c>
      <c r="G177" s="70">
        <v>2</v>
      </c>
      <c r="H177" s="71" t="s">
        <v>91</v>
      </c>
      <c r="W177" s="24" t="str">
        <f>VLOOKUP(H177,Passnr!J:K,2,FALSE)</f>
        <v>D120143</v>
      </c>
      <c r="X177" s="24" t="str">
        <f aca="true" t="shared" si="26" ref="X177:X185">IF(W177=F177,"ok","falsch")</f>
        <v>ok</v>
      </c>
      <c r="Y177" s="27">
        <f t="shared" si="22"/>
        <v>20183</v>
      </c>
    </row>
    <row r="178" spans="1:25" ht="14.25">
      <c r="A178" s="24" t="str">
        <f t="shared" si="25"/>
        <v>Familienbande 3</v>
      </c>
      <c r="B178" s="76" t="str">
        <f aca="true" t="shared" si="27" ref="B178:B196">+$B$176</f>
        <v>Familienbande</v>
      </c>
      <c r="C178" s="70">
        <v>3</v>
      </c>
      <c r="D178" s="62">
        <v>23203</v>
      </c>
      <c r="E178" s="70">
        <v>3</v>
      </c>
      <c r="F178" s="234" t="s">
        <v>254</v>
      </c>
      <c r="G178" s="70">
        <v>3</v>
      </c>
      <c r="H178" s="71" t="s">
        <v>190</v>
      </c>
      <c r="W178" s="24" t="str">
        <f>VLOOKUP(H178,Passnr!J:K,2,FALSE)</f>
        <v>D120142</v>
      </c>
      <c r="X178" s="24" t="str">
        <f t="shared" si="26"/>
        <v>ok</v>
      </c>
      <c r="Y178" s="27">
        <f t="shared" si="22"/>
        <v>23203</v>
      </c>
    </row>
    <row r="179" spans="1:25" ht="14.25">
      <c r="A179" s="24" t="str">
        <f t="shared" si="25"/>
        <v>Familienbande 4</v>
      </c>
      <c r="B179" s="76" t="str">
        <f t="shared" si="27"/>
        <v>Familienbande</v>
      </c>
      <c r="C179" s="70">
        <v>4</v>
      </c>
      <c r="D179" s="62">
        <v>22862</v>
      </c>
      <c r="E179" s="70">
        <v>4</v>
      </c>
      <c r="F179" s="234" t="s">
        <v>255</v>
      </c>
      <c r="G179" s="70">
        <v>4</v>
      </c>
      <c r="H179" s="71" t="s">
        <v>97</v>
      </c>
      <c r="W179" s="24" t="str">
        <f>VLOOKUP(H179,Passnr!J:K,2,FALSE)</f>
        <v>D120141</v>
      </c>
      <c r="X179" s="24" t="str">
        <f t="shared" si="26"/>
        <v>ok</v>
      </c>
      <c r="Y179" s="27">
        <f t="shared" si="22"/>
        <v>22862</v>
      </c>
    </row>
    <row r="180" spans="1:25" ht="14.25">
      <c r="A180" s="24" t="str">
        <f t="shared" si="25"/>
        <v>Familienbande 5</v>
      </c>
      <c r="B180" s="76" t="str">
        <f t="shared" si="27"/>
        <v>Familienbande</v>
      </c>
      <c r="C180" s="70">
        <v>5</v>
      </c>
      <c r="D180" s="62">
        <v>23109</v>
      </c>
      <c r="E180" s="70">
        <v>5</v>
      </c>
      <c r="F180" s="232" t="s">
        <v>177</v>
      </c>
      <c r="G180" s="70">
        <v>5</v>
      </c>
      <c r="H180" s="71" t="s">
        <v>98</v>
      </c>
      <c r="W180" s="24" t="str">
        <f>VLOOKUP(H180,Passnr!J:K,2,FALSE)</f>
        <v>D059007</v>
      </c>
      <c r="X180" s="24" t="str">
        <f t="shared" si="26"/>
        <v>ok</v>
      </c>
      <c r="Y180" s="27">
        <f t="shared" si="22"/>
        <v>23109</v>
      </c>
    </row>
    <row r="181" spans="1:25" ht="14.25">
      <c r="A181" s="24" t="str">
        <f t="shared" si="25"/>
        <v>Familienbande 6</v>
      </c>
      <c r="B181" s="76" t="str">
        <f t="shared" si="27"/>
        <v>Familienbande</v>
      </c>
      <c r="C181" s="70">
        <v>6</v>
      </c>
      <c r="D181" s="62">
        <v>19773</v>
      </c>
      <c r="E181" s="70">
        <v>6</v>
      </c>
      <c r="F181" s="232" t="s">
        <v>178</v>
      </c>
      <c r="G181" s="70">
        <v>6</v>
      </c>
      <c r="H181" s="71" t="s">
        <v>99</v>
      </c>
      <c r="W181" s="24" t="str">
        <f>VLOOKUP(H181,Passnr!J:K,2,FALSE)</f>
        <v>D059005</v>
      </c>
      <c r="X181" s="24" t="str">
        <f t="shared" si="26"/>
        <v>ok</v>
      </c>
      <c r="Y181" s="27">
        <f t="shared" si="22"/>
        <v>19773</v>
      </c>
    </row>
    <row r="182" spans="1:25" ht="14.25">
      <c r="A182" s="24" t="str">
        <f t="shared" si="25"/>
        <v>Familienbande 7</v>
      </c>
      <c r="B182" s="76" t="str">
        <f t="shared" si="27"/>
        <v>Familienbande</v>
      </c>
      <c r="C182" s="70">
        <v>7</v>
      </c>
      <c r="D182" s="62">
        <v>20746</v>
      </c>
      <c r="E182" s="70">
        <v>7</v>
      </c>
      <c r="F182" s="75" t="s">
        <v>256</v>
      </c>
      <c r="G182" s="70">
        <v>7</v>
      </c>
      <c r="H182" s="71" t="s">
        <v>100</v>
      </c>
      <c r="W182" s="24" t="str">
        <f>VLOOKUP(H182,Passnr!J:K,2,FALSE)</f>
        <v>D120140</v>
      </c>
      <c r="X182" s="24" t="str">
        <f t="shared" si="26"/>
        <v>ok</v>
      </c>
      <c r="Y182" s="27">
        <f t="shared" si="22"/>
        <v>20746</v>
      </c>
    </row>
    <row r="183" spans="1:25" ht="14.25">
      <c r="A183" s="24" t="str">
        <f t="shared" si="25"/>
        <v>Familienbande 8</v>
      </c>
      <c r="B183" s="76" t="str">
        <f t="shared" si="27"/>
        <v>Familienbande</v>
      </c>
      <c r="C183" s="70">
        <v>8</v>
      </c>
      <c r="D183" s="62">
        <v>30059</v>
      </c>
      <c r="E183" s="70">
        <v>8</v>
      </c>
      <c r="F183" s="75" t="s">
        <v>257</v>
      </c>
      <c r="G183" s="70">
        <v>8</v>
      </c>
      <c r="H183" s="108" t="s">
        <v>198</v>
      </c>
      <c r="W183" s="24" t="str">
        <f>VLOOKUP(H183,Passnr!J:K,2,FALSE)</f>
        <v>D120111</v>
      </c>
      <c r="X183" s="24" t="str">
        <f t="shared" si="26"/>
        <v>ok</v>
      </c>
      <c r="Y183" s="27">
        <f t="shared" si="22"/>
        <v>30059</v>
      </c>
    </row>
    <row r="184" spans="1:25" ht="14.25">
      <c r="A184" s="24" t="str">
        <f t="shared" si="25"/>
        <v>Familienbande 9</v>
      </c>
      <c r="B184" s="76" t="str">
        <f t="shared" si="27"/>
        <v>Familienbande</v>
      </c>
      <c r="C184" s="70">
        <v>9</v>
      </c>
      <c r="D184" s="62">
        <v>25766</v>
      </c>
      <c r="E184" s="231">
        <v>9</v>
      </c>
      <c r="F184" s="75" t="s">
        <v>185</v>
      </c>
      <c r="G184" s="231">
        <v>9</v>
      </c>
      <c r="H184" s="108" t="s">
        <v>559</v>
      </c>
      <c r="W184" s="24" t="str">
        <f>VLOOKUP(H184,Passnr!J:K,2,FALSE)</f>
        <v>D059019</v>
      </c>
      <c r="X184" s="24" t="str">
        <f t="shared" si="26"/>
        <v>ok</v>
      </c>
      <c r="Y184" s="27">
        <f t="shared" si="22"/>
        <v>25766</v>
      </c>
    </row>
    <row r="185" spans="1:25" ht="14.25">
      <c r="A185" s="24" t="str">
        <f t="shared" si="25"/>
        <v>Familienbande 10</v>
      </c>
      <c r="B185" s="76" t="str">
        <f t="shared" si="27"/>
        <v>Familienbande</v>
      </c>
      <c r="C185" s="70">
        <v>10</v>
      </c>
      <c r="D185" s="62">
        <v>23759</v>
      </c>
      <c r="E185" s="70">
        <v>10</v>
      </c>
      <c r="F185" s="75" t="s">
        <v>211</v>
      </c>
      <c r="G185" s="70">
        <v>10</v>
      </c>
      <c r="H185" s="108" t="s">
        <v>183</v>
      </c>
      <c r="W185" s="24" t="str">
        <f>VLOOKUP(H185,Passnr!J:K,2,FALSE)</f>
        <v>D120119</v>
      </c>
      <c r="X185" s="24" t="str">
        <f t="shared" si="26"/>
        <v>ok</v>
      </c>
      <c r="Y185" s="27">
        <f t="shared" si="22"/>
        <v>23759</v>
      </c>
    </row>
    <row r="186" spans="1:25" ht="14.25">
      <c r="A186" s="24" t="str">
        <f t="shared" si="25"/>
        <v>Familienbande 11</v>
      </c>
      <c r="B186" s="76" t="str">
        <f t="shared" si="27"/>
        <v>Familienbande</v>
      </c>
      <c r="C186" s="70">
        <v>11</v>
      </c>
      <c r="D186" s="62">
        <v>31323</v>
      </c>
      <c r="E186" s="70">
        <v>11</v>
      </c>
      <c r="F186" s="232" t="s">
        <v>548</v>
      </c>
      <c r="G186" s="70">
        <v>11</v>
      </c>
      <c r="H186" s="108" t="s">
        <v>546</v>
      </c>
      <c r="W186" s="24" t="str">
        <f>VLOOKUP(H186,Passnr!J:K,2,FALSE)</f>
        <v>D120151</v>
      </c>
      <c r="X186" s="24" t="str">
        <f>IF(W186=F186,"ok","falsch")</f>
        <v>ok</v>
      </c>
      <c r="Y186" s="27">
        <f t="shared" si="22"/>
        <v>31323</v>
      </c>
    </row>
    <row r="187" spans="1:25" ht="14.25">
      <c r="A187" s="24" t="str">
        <f t="shared" si="25"/>
        <v>Familienbande 12</v>
      </c>
      <c r="B187" s="76" t="str">
        <f t="shared" si="27"/>
        <v>Familienbande</v>
      </c>
      <c r="C187" s="70">
        <v>12</v>
      </c>
      <c r="D187" s="62"/>
      <c r="E187" s="70">
        <v>12</v>
      </c>
      <c r="F187" s="64"/>
      <c r="G187" s="70">
        <v>12</v>
      </c>
      <c r="H187" s="71"/>
      <c r="Y187" s="27">
        <f t="shared" si="22"/>
        <v>0</v>
      </c>
    </row>
    <row r="188" spans="1:25" ht="14.25">
      <c r="A188" s="24" t="str">
        <f t="shared" si="25"/>
        <v>Familienbande 13</v>
      </c>
      <c r="B188" s="76" t="str">
        <f t="shared" si="27"/>
        <v>Familienbande</v>
      </c>
      <c r="C188" s="70">
        <v>13</v>
      </c>
      <c r="D188" s="62"/>
      <c r="E188" s="70">
        <v>13</v>
      </c>
      <c r="F188" s="64"/>
      <c r="G188" s="70">
        <v>13</v>
      </c>
      <c r="H188" s="71"/>
      <c r="Y188" s="27">
        <f t="shared" si="22"/>
        <v>0</v>
      </c>
    </row>
    <row r="189" spans="1:25" ht="14.25">
      <c r="A189" s="24" t="str">
        <f t="shared" si="25"/>
        <v>Familienbande 14</v>
      </c>
      <c r="B189" s="76" t="str">
        <f t="shared" si="27"/>
        <v>Familienbande</v>
      </c>
      <c r="C189" s="70">
        <v>14</v>
      </c>
      <c r="D189" s="62"/>
      <c r="E189" s="70">
        <v>14</v>
      </c>
      <c r="F189" s="64"/>
      <c r="G189" s="70">
        <v>14</v>
      </c>
      <c r="H189" s="71"/>
      <c r="Y189" s="27">
        <f t="shared" si="22"/>
        <v>0</v>
      </c>
    </row>
    <row r="190" spans="1:25" ht="14.25">
      <c r="A190" s="24" t="str">
        <f t="shared" si="25"/>
        <v>Familienbande 15</v>
      </c>
      <c r="B190" s="76" t="str">
        <f t="shared" si="27"/>
        <v>Familienbande</v>
      </c>
      <c r="C190" s="70">
        <v>15</v>
      </c>
      <c r="D190" s="62"/>
      <c r="E190" s="70">
        <v>15</v>
      </c>
      <c r="F190" s="64"/>
      <c r="G190" s="70">
        <v>15</v>
      </c>
      <c r="H190" s="71"/>
      <c r="Y190" s="27">
        <f t="shared" si="22"/>
        <v>0</v>
      </c>
    </row>
    <row r="191" spans="1:25" ht="14.25">
      <c r="A191" s="24" t="str">
        <f t="shared" si="25"/>
        <v>Familienbande 16</v>
      </c>
      <c r="B191" s="76" t="str">
        <f t="shared" si="27"/>
        <v>Familienbande</v>
      </c>
      <c r="C191" s="70">
        <v>16</v>
      </c>
      <c r="D191" s="62"/>
      <c r="E191" s="70">
        <v>16</v>
      </c>
      <c r="F191" s="64"/>
      <c r="G191" s="70">
        <v>16</v>
      </c>
      <c r="H191" s="71"/>
      <c r="Y191" s="27">
        <f t="shared" si="22"/>
        <v>0</v>
      </c>
    </row>
    <row r="192" spans="1:25" ht="14.25">
      <c r="A192" s="24" t="str">
        <f t="shared" si="25"/>
        <v>Familienbande 17</v>
      </c>
      <c r="B192" s="76" t="str">
        <f t="shared" si="27"/>
        <v>Familienbande</v>
      </c>
      <c r="C192" s="70">
        <v>17</v>
      </c>
      <c r="D192" s="62"/>
      <c r="E192" s="70">
        <v>17</v>
      </c>
      <c r="F192" s="64"/>
      <c r="G192" s="70">
        <v>17</v>
      </c>
      <c r="H192" s="71"/>
      <c r="Y192" s="27">
        <f t="shared" si="22"/>
        <v>0</v>
      </c>
    </row>
    <row r="193" spans="1:25" ht="14.25">
      <c r="A193" s="24" t="str">
        <f t="shared" si="25"/>
        <v>Familienbande 18</v>
      </c>
      <c r="B193" s="76" t="str">
        <f t="shared" si="27"/>
        <v>Familienbande</v>
      </c>
      <c r="C193" s="70">
        <v>18</v>
      </c>
      <c r="D193" s="62"/>
      <c r="E193" s="70">
        <v>18</v>
      </c>
      <c r="F193" s="64"/>
      <c r="G193" s="70">
        <v>18</v>
      </c>
      <c r="H193" s="71"/>
      <c r="Y193" s="27">
        <f t="shared" si="22"/>
        <v>0</v>
      </c>
    </row>
    <row r="194" spans="1:25" ht="14.25">
      <c r="A194" s="24" t="str">
        <f t="shared" si="25"/>
        <v>Familienbande 19</v>
      </c>
      <c r="B194" s="76" t="str">
        <f t="shared" si="27"/>
        <v>Familienbande</v>
      </c>
      <c r="C194" s="70">
        <v>19</v>
      </c>
      <c r="D194" s="62"/>
      <c r="E194" s="70">
        <v>19</v>
      </c>
      <c r="F194" s="64"/>
      <c r="G194" s="70">
        <v>19</v>
      </c>
      <c r="H194" s="71"/>
      <c r="Y194" s="27">
        <f t="shared" si="22"/>
        <v>0</v>
      </c>
    </row>
    <row r="195" spans="1:25" ht="14.25">
      <c r="A195" s="24" t="str">
        <f t="shared" si="25"/>
        <v>Familienbande 20</v>
      </c>
      <c r="B195" s="76" t="str">
        <f t="shared" si="27"/>
        <v>Familienbande</v>
      </c>
      <c r="C195" s="70">
        <v>20</v>
      </c>
      <c r="D195" s="62"/>
      <c r="E195" s="70">
        <v>20</v>
      </c>
      <c r="F195" s="64"/>
      <c r="G195" s="70">
        <v>20</v>
      </c>
      <c r="H195" s="71"/>
      <c r="Y195" s="27">
        <f t="shared" si="22"/>
        <v>0</v>
      </c>
    </row>
    <row r="196" spans="1:25" ht="14.25">
      <c r="A196" s="24" t="str">
        <f t="shared" si="25"/>
        <v>Familienbande 21</v>
      </c>
      <c r="B196" s="76" t="str">
        <f t="shared" si="27"/>
        <v>Familienbande</v>
      </c>
      <c r="C196" s="70">
        <v>21</v>
      </c>
      <c r="D196" s="62"/>
      <c r="E196" s="70">
        <v>21</v>
      </c>
      <c r="F196" s="64"/>
      <c r="G196" s="70">
        <v>21</v>
      </c>
      <c r="H196" s="71"/>
      <c r="Y196" s="27">
        <f t="shared" si="22"/>
        <v>0</v>
      </c>
    </row>
    <row r="197" spans="2:25" ht="25.5">
      <c r="B197" s="35" t="s">
        <v>163</v>
      </c>
      <c r="C197" s="36">
        <v>1</v>
      </c>
      <c r="D197" s="41"/>
      <c r="E197" s="36">
        <v>1</v>
      </c>
      <c r="F197" s="37"/>
      <c r="G197" s="36">
        <v>1</v>
      </c>
      <c r="H197" s="37"/>
      <c r="Y197" s="27">
        <f t="shared" si="22"/>
        <v>0</v>
      </c>
    </row>
    <row r="198" spans="1:25" ht="14.25">
      <c r="A198" s="24" t="str">
        <f t="shared" si="25"/>
        <v>TV Rheinau 2</v>
      </c>
      <c r="B198" s="76" t="str">
        <f aca="true" t="shared" si="28" ref="B198:B217">$B$197</f>
        <v>TV Rheinau</v>
      </c>
      <c r="C198" s="70">
        <v>2</v>
      </c>
      <c r="D198" s="62">
        <v>25697</v>
      </c>
      <c r="E198" s="70">
        <v>2</v>
      </c>
      <c r="F198" s="232" t="s">
        <v>258</v>
      </c>
      <c r="G198" s="70">
        <v>2</v>
      </c>
      <c r="H198" s="71" t="s">
        <v>164</v>
      </c>
      <c r="W198" s="24" t="str">
        <f>VLOOKUP(H198,Passnr!J:K,2,FALSE)</f>
        <v>D092042</v>
      </c>
      <c r="X198" s="24" t="str">
        <f aca="true" t="shared" si="29" ref="X198:X204">IF(W198=F198,"ok","falsch")</f>
        <v>ok</v>
      </c>
      <c r="Y198" s="27">
        <f aca="true" t="shared" si="30" ref="Y198:Y238">+D198</f>
        <v>25697</v>
      </c>
    </row>
    <row r="199" spans="1:25" ht="14.25">
      <c r="A199" s="24" t="str">
        <f t="shared" si="25"/>
        <v>TV Rheinau 3</v>
      </c>
      <c r="B199" s="76" t="str">
        <f t="shared" si="28"/>
        <v>TV Rheinau</v>
      </c>
      <c r="C199" s="70">
        <v>3</v>
      </c>
      <c r="D199" s="62">
        <v>30484</v>
      </c>
      <c r="E199" s="70">
        <v>3</v>
      </c>
      <c r="F199" s="232" t="s">
        <v>563</v>
      </c>
      <c r="G199" s="70">
        <v>3</v>
      </c>
      <c r="H199" s="108" t="s">
        <v>590</v>
      </c>
      <c r="W199" s="24" t="str">
        <f>VLOOKUP(H199,Passnr!J:K,2,FALSE)</f>
        <v>D120172</v>
      </c>
      <c r="X199" s="24" t="str">
        <f t="shared" si="29"/>
        <v>ok</v>
      </c>
      <c r="Y199" s="27">
        <f t="shared" si="30"/>
        <v>30484</v>
      </c>
    </row>
    <row r="200" spans="1:25" ht="14.25">
      <c r="A200" s="24" t="str">
        <f t="shared" si="25"/>
        <v>TV Rheinau 4</v>
      </c>
      <c r="B200" s="76" t="str">
        <f t="shared" si="28"/>
        <v>TV Rheinau</v>
      </c>
      <c r="C200" s="70">
        <v>4</v>
      </c>
      <c r="D200" s="62">
        <v>20027</v>
      </c>
      <c r="E200" s="70">
        <v>4</v>
      </c>
      <c r="F200" s="232" t="s">
        <v>186</v>
      </c>
      <c r="G200" s="70">
        <v>4</v>
      </c>
      <c r="H200" s="71" t="s">
        <v>165</v>
      </c>
      <c r="W200" s="24" t="str">
        <f>VLOOKUP(H200,Passnr!J:K,2,FALSE)</f>
        <v>D059014</v>
      </c>
      <c r="X200" s="24" t="str">
        <f t="shared" si="29"/>
        <v>ok</v>
      </c>
      <c r="Y200" s="27">
        <f t="shared" si="30"/>
        <v>20027</v>
      </c>
    </row>
    <row r="201" spans="1:25" ht="14.25">
      <c r="A201" s="24" t="str">
        <f t="shared" si="25"/>
        <v>TV Rheinau 5</v>
      </c>
      <c r="B201" s="76" t="str">
        <f t="shared" si="28"/>
        <v>TV Rheinau</v>
      </c>
      <c r="C201" s="70">
        <v>5</v>
      </c>
      <c r="D201" s="62">
        <v>20233</v>
      </c>
      <c r="E201" s="70">
        <v>5</v>
      </c>
      <c r="F201" s="232" t="s">
        <v>181</v>
      </c>
      <c r="G201" s="70">
        <v>5</v>
      </c>
      <c r="H201" s="71" t="s">
        <v>166</v>
      </c>
      <c r="W201" s="24" t="str">
        <f>VLOOKUP(H201,Passnr!J:K,2,FALSE)</f>
        <v>D026693</v>
      </c>
      <c r="X201" s="24" t="str">
        <f t="shared" si="29"/>
        <v>ok</v>
      </c>
      <c r="Y201" s="27">
        <f t="shared" si="30"/>
        <v>20233</v>
      </c>
    </row>
    <row r="202" spans="1:25" ht="14.25">
      <c r="A202" s="24" t="str">
        <f t="shared" si="25"/>
        <v>TV Rheinau 6</v>
      </c>
      <c r="B202" s="76" t="str">
        <f t="shared" si="28"/>
        <v>TV Rheinau</v>
      </c>
      <c r="C202" s="70">
        <v>6</v>
      </c>
      <c r="D202" s="62">
        <v>29263</v>
      </c>
      <c r="E202" s="70">
        <v>6</v>
      </c>
      <c r="F202" s="232" t="s">
        <v>182</v>
      </c>
      <c r="G202" s="70">
        <v>6</v>
      </c>
      <c r="H202" s="108" t="s">
        <v>664</v>
      </c>
      <c r="W202" s="24" t="str">
        <f>VLOOKUP(H202,Passnr!J:K,2,FALSE)</f>
        <v>D026794</v>
      </c>
      <c r="X202" s="24" t="str">
        <f t="shared" si="29"/>
        <v>ok</v>
      </c>
      <c r="Y202" s="27">
        <f t="shared" si="30"/>
        <v>29263</v>
      </c>
    </row>
    <row r="203" spans="1:25" ht="14.25">
      <c r="A203" s="24" t="str">
        <f t="shared" si="25"/>
        <v>TV Rheinau 7</v>
      </c>
      <c r="B203" s="76" t="str">
        <f t="shared" si="28"/>
        <v>TV Rheinau</v>
      </c>
      <c r="C203" s="70">
        <v>7</v>
      </c>
      <c r="D203" s="62">
        <v>21005</v>
      </c>
      <c r="E203" s="70">
        <v>7</v>
      </c>
      <c r="F203" s="232" t="s">
        <v>193</v>
      </c>
      <c r="G203" s="70">
        <v>7</v>
      </c>
      <c r="H203" s="108" t="s">
        <v>194</v>
      </c>
      <c r="W203" s="24" t="str">
        <f>VLOOKUP(H203,Passnr!J:K,2,FALSE)</f>
        <v>D092082</v>
      </c>
      <c r="X203" s="24" t="str">
        <f t="shared" si="29"/>
        <v>ok</v>
      </c>
      <c r="Y203" s="27">
        <f t="shared" si="30"/>
        <v>21005</v>
      </c>
    </row>
    <row r="204" spans="1:25" ht="14.25">
      <c r="A204" s="24" t="str">
        <f t="shared" si="25"/>
        <v>TV Rheinau 8</v>
      </c>
      <c r="B204" s="76" t="str">
        <f t="shared" si="28"/>
        <v>TV Rheinau</v>
      </c>
      <c r="C204" s="70">
        <v>8</v>
      </c>
      <c r="D204" s="62">
        <v>34467</v>
      </c>
      <c r="E204" s="70">
        <v>8</v>
      </c>
      <c r="F204" s="232" t="s">
        <v>603</v>
      </c>
      <c r="G204" s="70">
        <v>8</v>
      </c>
      <c r="H204" s="108" t="s">
        <v>604</v>
      </c>
      <c r="W204" s="24" t="str">
        <f>VLOOKUP(H204,Passnr!J:K,2,FALSE)</f>
        <v>D120174</v>
      </c>
      <c r="X204" s="24" t="str">
        <f t="shared" si="29"/>
        <v>ok</v>
      </c>
      <c r="Y204" s="27">
        <f t="shared" si="30"/>
        <v>34467</v>
      </c>
    </row>
    <row r="205" spans="1:25" ht="14.25">
      <c r="A205" s="24" t="str">
        <f t="shared" si="25"/>
        <v>TV Rheinau 9</v>
      </c>
      <c r="B205" s="76" t="str">
        <f t="shared" si="28"/>
        <v>TV Rheinau</v>
      </c>
      <c r="C205" s="70">
        <v>9</v>
      </c>
      <c r="D205" s="62">
        <v>31372</v>
      </c>
      <c r="E205" s="70">
        <v>9</v>
      </c>
      <c r="F205" s="247" t="s">
        <v>656</v>
      </c>
      <c r="G205" s="70">
        <v>9</v>
      </c>
      <c r="H205" s="108" t="s">
        <v>661</v>
      </c>
      <c r="W205" s="24" t="str">
        <f>VLOOKUP(H205,Passnr!J:K,2,FALSE)</f>
        <v>D152645</v>
      </c>
      <c r="X205" s="24" t="str">
        <f>IF(W205=F205,"ok","falsch")</f>
        <v>ok</v>
      </c>
      <c r="Y205" s="27">
        <f t="shared" si="30"/>
        <v>31372</v>
      </c>
    </row>
    <row r="206" spans="1:25" ht="14.25">
      <c r="A206" s="24" t="str">
        <f t="shared" si="25"/>
        <v>TV Rheinau 10</v>
      </c>
      <c r="B206" s="76" t="str">
        <f t="shared" si="28"/>
        <v>TV Rheinau</v>
      </c>
      <c r="C206" s="70">
        <v>10</v>
      </c>
      <c r="D206" s="62">
        <v>30767</v>
      </c>
      <c r="E206" s="70">
        <v>10</v>
      </c>
      <c r="F206" s="64" t="s">
        <v>657</v>
      </c>
      <c r="G206" s="70">
        <v>10</v>
      </c>
      <c r="H206" s="108" t="s">
        <v>662</v>
      </c>
      <c r="W206" s="24" t="str">
        <f>VLOOKUP(H206,Passnr!J:K,2,FALSE)</f>
        <v>D152644</v>
      </c>
      <c r="X206" s="24" t="str">
        <f>IF(W206=F206,"ok","falsch")</f>
        <v>ok</v>
      </c>
      <c r="Y206" s="27">
        <f t="shared" si="30"/>
        <v>30767</v>
      </c>
    </row>
    <row r="207" spans="1:25" ht="14.25">
      <c r="A207" s="24" t="str">
        <f t="shared" si="25"/>
        <v>TV Rheinau 11</v>
      </c>
      <c r="B207" s="76" t="str">
        <f t="shared" si="28"/>
        <v>TV Rheinau</v>
      </c>
      <c r="C207" s="70">
        <v>11</v>
      </c>
      <c r="D207" s="62"/>
      <c r="E207" s="70">
        <v>11</v>
      </c>
      <c r="F207" s="64"/>
      <c r="G207" s="70">
        <v>11</v>
      </c>
      <c r="H207" s="108"/>
      <c r="P207" s="194"/>
      <c r="Y207" s="27">
        <f t="shared" si="30"/>
        <v>0</v>
      </c>
    </row>
    <row r="208" spans="1:25" ht="14.25">
      <c r="A208" s="24" t="str">
        <f t="shared" si="25"/>
        <v>TV Rheinau 12</v>
      </c>
      <c r="B208" s="76" t="str">
        <f t="shared" si="28"/>
        <v>TV Rheinau</v>
      </c>
      <c r="C208" s="70">
        <v>12</v>
      </c>
      <c r="D208" s="62"/>
      <c r="E208" s="70">
        <v>12</v>
      </c>
      <c r="F208" s="64"/>
      <c r="G208" s="70">
        <v>12</v>
      </c>
      <c r="H208" s="71"/>
      <c r="Y208" s="27">
        <f t="shared" si="30"/>
        <v>0</v>
      </c>
    </row>
    <row r="209" spans="1:25" ht="14.25">
      <c r="A209" s="24" t="str">
        <f t="shared" si="25"/>
        <v>TV Rheinau 13</v>
      </c>
      <c r="B209" s="76" t="str">
        <f t="shared" si="28"/>
        <v>TV Rheinau</v>
      </c>
      <c r="C209" s="70">
        <v>13</v>
      </c>
      <c r="D209" s="62"/>
      <c r="E209" s="70">
        <v>13</v>
      </c>
      <c r="F209" s="64"/>
      <c r="G209" s="70">
        <v>13</v>
      </c>
      <c r="H209" s="71"/>
      <c r="Y209" s="27">
        <f t="shared" si="30"/>
        <v>0</v>
      </c>
    </row>
    <row r="210" spans="1:25" ht="14.25">
      <c r="A210" s="24" t="str">
        <f t="shared" si="25"/>
        <v>TV Rheinau 14</v>
      </c>
      <c r="B210" s="76" t="str">
        <f t="shared" si="28"/>
        <v>TV Rheinau</v>
      </c>
      <c r="C210" s="70">
        <v>14</v>
      </c>
      <c r="D210" s="62"/>
      <c r="E210" s="70">
        <v>14</v>
      </c>
      <c r="F210" s="64"/>
      <c r="G210" s="70">
        <v>14</v>
      </c>
      <c r="H210" s="71"/>
      <c r="Y210" s="27">
        <f t="shared" si="30"/>
        <v>0</v>
      </c>
    </row>
    <row r="211" spans="1:25" ht="14.25">
      <c r="A211" s="24" t="str">
        <f t="shared" si="25"/>
        <v>TV Rheinau 15</v>
      </c>
      <c r="B211" s="76" t="str">
        <f t="shared" si="28"/>
        <v>TV Rheinau</v>
      </c>
      <c r="C211" s="70">
        <v>15</v>
      </c>
      <c r="D211" s="62"/>
      <c r="E211" s="70">
        <v>15</v>
      </c>
      <c r="F211" s="64"/>
      <c r="G211" s="70">
        <v>15</v>
      </c>
      <c r="H211" s="71"/>
      <c r="Y211" s="27">
        <f t="shared" si="30"/>
        <v>0</v>
      </c>
    </row>
    <row r="212" spans="1:25" ht="14.25">
      <c r="A212" s="24" t="str">
        <f t="shared" si="25"/>
        <v>TV Rheinau 16</v>
      </c>
      <c r="B212" s="76" t="str">
        <f t="shared" si="28"/>
        <v>TV Rheinau</v>
      </c>
      <c r="C212" s="70">
        <v>16</v>
      </c>
      <c r="D212" s="62"/>
      <c r="E212" s="70">
        <v>16</v>
      </c>
      <c r="F212" s="64"/>
      <c r="G212" s="70">
        <v>16</v>
      </c>
      <c r="H212" s="71"/>
      <c r="Y212" s="27">
        <f t="shared" si="30"/>
        <v>0</v>
      </c>
    </row>
    <row r="213" spans="1:25" ht="14.25">
      <c r="A213" s="24" t="str">
        <f t="shared" si="25"/>
        <v>TV Rheinau 17</v>
      </c>
      <c r="B213" s="76" t="str">
        <f t="shared" si="28"/>
        <v>TV Rheinau</v>
      </c>
      <c r="C213" s="70">
        <v>17</v>
      </c>
      <c r="D213" s="62"/>
      <c r="E213" s="70">
        <v>17</v>
      </c>
      <c r="F213" s="64"/>
      <c r="G213" s="70">
        <v>17</v>
      </c>
      <c r="H213" s="71"/>
      <c r="Y213" s="27">
        <f t="shared" si="30"/>
        <v>0</v>
      </c>
    </row>
    <row r="214" spans="1:25" ht="14.25">
      <c r="A214" s="24" t="str">
        <f t="shared" si="25"/>
        <v>TV Rheinau 18</v>
      </c>
      <c r="B214" s="76" t="str">
        <f t="shared" si="28"/>
        <v>TV Rheinau</v>
      </c>
      <c r="C214" s="70">
        <v>18</v>
      </c>
      <c r="D214" s="62"/>
      <c r="E214" s="70">
        <v>18</v>
      </c>
      <c r="F214" s="64"/>
      <c r="G214" s="70">
        <v>18</v>
      </c>
      <c r="H214" s="71"/>
      <c r="Y214" s="27">
        <f t="shared" si="30"/>
        <v>0</v>
      </c>
    </row>
    <row r="215" spans="1:25" ht="14.25">
      <c r="A215" s="24" t="str">
        <f t="shared" si="25"/>
        <v>TV Rheinau 19</v>
      </c>
      <c r="B215" s="76" t="str">
        <f t="shared" si="28"/>
        <v>TV Rheinau</v>
      </c>
      <c r="C215" s="70">
        <v>19</v>
      </c>
      <c r="D215" s="62"/>
      <c r="E215" s="70">
        <v>19</v>
      </c>
      <c r="F215" s="64"/>
      <c r="G215" s="70">
        <v>19</v>
      </c>
      <c r="H215" s="71"/>
      <c r="Y215" s="27">
        <f t="shared" si="30"/>
        <v>0</v>
      </c>
    </row>
    <row r="216" spans="1:25" ht="14.25">
      <c r="A216" s="24" t="str">
        <f t="shared" si="25"/>
        <v>TV Rheinau 20</v>
      </c>
      <c r="B216" s="76" t="str">
        <f t="shared" si="28"/>
        <v>TV Rheinau</v>
      </c>
      <c r="C216" s="70">
        <v>20</v>
      </c>
      <c r="D216" s="62"/>
      <c r="E216" s="70">
        <v>20</v>
      </c>
      <c r="F216" s="64"/>
      <c r="G216" s="70">
        <v>20</v>
      </c>
      <c r="H216" s="71"/>
      <c r="Y216" s="27">
        <f t="shared" si="30"/>
        <v>0</v>
      </c>
    </row>
    <row r="217" spans="1:25" ht="14.25">
      <c r="A217" s="24" t="str">
        <f t="shared" si="25"/>
        <v>TV Rheinau 21</v>
      </c>
      <c r="B217" s="76" t="str">
        <f t="shared" si="28"/>
        <v>TV Rheinau</v>
      </c>
      <c r="C217" s="70">
        <v>21</v>
      </c>
      <c r="D217" s="62"/>
      <c r="E217" s="70">
        <v>21</v>
      </c>
      <c r="F217" s="64"/>
      <c r="G217" s="70">
        <v>21</v>
      </c>
      <c r="H217" s="71"/>
      <c r="Y217" s="27">
        <f t="shared" si="30"/>
        <v>0</v>
      </c>
    </row>
    <row r="218" spans="2:25" ht="25.5">
      <c r="B218" s="35"/>
      <c r="C218" s="34">
        <v>1</v>
      </c>
      <c r="D218" s="40"/>
      <c r="E218" s="34">
        <v>1</v>
      </c>
      <c r="F218" s="33"/>
      <c r="G218" s="34">
        <v>1</v>
      </c>
      <c r="H218" s="33"/>
      <c r="Y218" s="27">
        <f t="shared" si="30"/>
        <v>0</v>
      </c>
    </row>
    <row r="219" spans="1:25" ht="14.25">
      <c r="A219" s="24" t="str">
        <f t="shared" si="25"/>
        <v>0 2</v>
      </c>
      <c r="B219" s="76">
        <f aca="true" t="shared" si="31" ref="B219:B238">$B$218</f>
        <v>0</v>
      </c>
      <c r="C219" s="70">
        <v>2</v>
      </c>
      <c r="D219" s="62"/>
      <c r="E219" s="70">
        <v>2</v>
      </c>
      <c r="F219" s="75"/>
      <c r="G219" s="70">
        <v>2</v>
      </c>
      <c r="H219" s="108"/>
      <c r="W219" s="24" t="e">
        <f>VLOOKUP(H219,Passnr!J:K,2,FALSE)</f>
        <v>#N/A</v>
      </c>
      <c r="Y219" s="27">
        <f t="shared" si="30"/>
        <v>0</v>
      </c>
    </row>
    <row r="220" spans="1:25" ht="14.25">
      <c r="A220" s="24" t="str">
        <f t="shared" si="25"/>
        <v>0 3</v>
      </c>
      <c r="B220" s="76">
        <f t="shared" si="31"/>
        <v>0</v>
      </c>
      <c r="C220" s="70">
        <v>3</v>
      </c>
      <c r="D220" s="62"/>
      <c r="E220" s="70">
        <v>3</v>
      </c>
      <c r="F220" s="232"/>
      <c r="G220" s="70">
        <v>3</v>
      </c>
      <c r="H220" s="108"/>
      <c r="W220" s="24" t="e">
        <f>VLOOKUP(H220,Passnr!J:K,2,FALSE)</f>
        <v>#N/A</v>
      </c>
      <c r="Y220" s="27">
        <f t="shared" si="30"/>
        <v>0</v>
      </c>
    </row>
    <row r="221" spans="1:25" ht="14.25">
      <c r="A221" s="24" t="str">
        <f t="shared" si="25"/>
        <v>0 4</v>
      </c>
      <c r="B221" s="76">
        <f t="shared" si="31"/>
        <v>0</v>
      </c>
      <c r="C221" s="70">
        <v>4</v>
      </c>
      <c r="D221" s="62"/>
      <c r="E221" s="70">
        <v>4</v>
      </c>
      <c r="F221" s="234"/>
      <c r="G221" s="70">
        <v>4</v>
      </c>
      <c r="H221" s="108"/>
      <c r="W221" s="24" t="e">
        <f>VLOOKUP(H221,Passnr!J:K,2,FALSE)</f>
        <v>#N/A</v>
      </c>
      <c r="Y221" s="27">
        <f t="shared" si="30"/>
        <v>0</v>
      </c>
    </row>
    <row r="222" spans="1:25" ht="14.25">
      <c r="A222" s="24" t="str">
        <f aca="true" t="shared" si="32" ref="A222:A238">+B222&amp;" "&amp;C222</f>
        <v>0 5</v>
      </c>
      <c r="B222" s="76">
        <f t="shared" si="31"/>
        <v>0</v>
      </c>
      <c r="C222" s="70">
        <v>5</v>
      </c>
      <c r="D222" s="62"/>
      <c r="E222" s="70">
        <v>5</v>
      </c>
      <c r="F222" s="232"/>
      <c r="G222" s="70">
        <v>5</v>
      </c>
      <c r="H222" s="108"/>
      <c r="W222" s="24" t="e">
        <f>VLOOKUP(H222,Passnr!J:K,2,FALSE)</f>
        <v>#N/A</v>
      </c>
      <c r="Y222" s="27">
        <f t="shared" si="30"/>
        <v>0</v>
      </c>
    </row>
    <row r="223" spans="1:25" ht="14.25">
      <c r="A223" s="24" t="str">
        <f t="shared" si="32"/>
        <v>0 6</v>
      </c>
      <c r="B223" s="76">
        <f t="shared" si="31"/>
        <v>0</v>
      </c>
      <c r="C223" s="70">
        <v>6</v>
      </c>
      <c r="D223" s="86"/>
      <c r="E223" s="70">
        <v>6</v>
      </c>
      <c r="F223" s="232"/>
      <c r="G223" s="70">
        <v>6</v>
      </c>
      <c r="H223" s="71"/>
      <c r="W223" s="24" t="e">
        <f>VLOOKUP(H223,Passnr!J:K,2,FALSE)</f>
        <v>#N/A</v>
      </c>
      <c r="Y223" s="27">
        <f t="shared" si="30"/>
        <v>0</v>
      </c>
    </row>
    <row r="224" spans="1:25" ht="14.25">
      <c r="A224" s="24" t="str">
        <f t="shared" si="32"/>
        <v>0 7</v>
      </c>
      <c r="B224" s="76">
        <f t="shared" si="31"/>
        <v>0</v>
      </c>
      <c r="C224" s="70">
        <v>7</v>
      </c>
      <c r="D224" s="62"/>
      <c r="E224" s="70">
        <v>7</v>
      </c>
      <c r="F224" s="232"/>
      <c r="G224" s="70">
        <v>7</v>
      </c>
      <c r="H224" s="229"/>
      <c r="W224" s="24" t="e">
        <f>VLOOKUP(H224,Passnr!J:K,2,FALSE)</f>
        <v>#N/A</v>
      </c>
      <c r="Y224" s="27">
        <f t="shared" si="30"/>
        <v>0</v>
      </c>
    </row>
    <row r="225" spans="1:25" ht="14.25">
      <c r="A225" s="24" t="str">
        <f t="shared" si="32"/>
        <v>0 8</v>
      </c>
      <c r="B225" s="76">
        <f t="shared" si="31"/>
        <v>0</v>
      </c>
      <c r="C225" s="70">
        <v>8</v>
      </c>
      <c r="D225" s="62"/>
      <c r="E225" s="70">
        <v>8</v>
      </c>
      <c r="F225" s="64"/>
      <c r="G225" s="70">
        <v>8</v>
      </c>
      <c r="H225" s="229"/>
      <c r="W225" s="24" t="e">
        <f>VLOOKUP(H225,Passnr!J:K,2,FALSE)</f>
        <v>#N/A</v>
      </c>
      <c r="Y225" s="27">
        <f t="shared" si="30"/>
        <v>0</v>
      </c>
    </row>
    <row r="226" spans="1:25" ht="14.25">
      <c r="A226" s="24" t="str">
        <f t="shared" si="32"/>
        <v>0 9</v>
      </c>
      <c r="B226" s="76">
        <f t="shared" si="31"/>
        <v>0</v>
      </c>
      <c r="C226" s="70">
        <v>9</v>
      </c>
      <c r="D226" s="62"/>
      <c r="E226" s="70">
        <v>9</v>
      </c>
      <c r="F226" s="232"/>
      <c r="G226" s="70">
        <v>9</v>
      </c>
      <c r="H226" s="108"/>
      <c r="W226" s="24" t="e">
        <f>VLOOKUP(H226,Passnr!J:K,2,FALSE)</f>
        <v>#N/A</v>
      </c>
      <c r="Y226" s="27">
        <f t="shared" si="30"/>
        <v>0</v>
      </c>
    </row>
    <row r="227" spans="1:25" ht="14.25">
      <c r="A227" s="24" t="str">
        <f t="shared" si="32"/>
        <v>0 10</v>
      </c>
      <c r="B227" s="76">
        <f t="shared" si="31"/>
        <v>0</v>
      </c>
      <c r="C227" s="70">
        <v>10</v>
      </c>
      <c r="D227" s="62"/>
      <c r="E227" s="70">
        <v>10</v>
      </c>
      <c r="F227" s="64"/>
      <c r="G227" s="70">
        <v>10</v>
      </c>
      <c r="H227" s="108"/>
      <c r="W227" s="24" t="e">
        <f>VLOOKUP(H227,Passnr!J:K,2,FALSE)</f>
        <v>#N/A</v>
      </c>
      <c r="Y227" s="27">
        <f t="shared" si="30"/>
        <v>0</v>
      </c>
    </row>
    <row r="228" spans="1:25" ht="14.25">
      <c r="A228" s="24" t="str">
        <f t="shared" si="32"/>
        <v>0 11</v>
      </c>
      <c r="B228" s="76">
        <f t="shared" si="31"/>
        <v>0</v>
      </c>
      <c r="C228" s="70">
        <v>11</v>
      </c>
      <c r="D228" s="62"/>
      <c r="E228" s="70">
        <v>11</v>
      </c>
      <c r="F228" s="64"/>
      <c r="G228" s="70">
        <v>11</v>
      </c>
      <c r="H228" s="108"/>
      <c r="Y228" s="27">
        <f t="shared" si="30"/>
        <v>0</v>
      </c>
    </row>
    <row r="229" spans="1:25" ht="14.25">
      <c r="A229" s="24" t="str">
        <f t="shared" si="32"/>
        <v>0 12</v>
      </c>
      <c r="B229" s="76">
        <f t="shared" si="31"/>
        <v>0</v>
      </c>
      <c r="C229" s="70">
        <v>12</v>
      </c>
      <c r="D229" s="62"/>
      <c r="E229" s="70">
        <v>12</v>
      </c>
      <c r="F229" s="64"/>
      <c r="G229" s="70">
        <v>12</v>
      </c>
      <c r="H229" s="108"/>
      <c r="Y229" s="27">
        <f t="shared" si="30"/>
        <v>0</v>
      </c>
    </row>
    <row r="230" spans="1:25" ht="14.25">
      <c r="A230" s="24" t="str">
        <f t="shared" si="32"/>
        <v>0 13</v>
      </c>
      <c r="B230" s="76">
        <f t="shared" si="31"/>
        <v>0</v>
      </c>
      <c r="C230" s="70">
        <v>13</v>
      </c>
      <c r="D230" s="62"/>
      <c r="E230" s="70">
        <v>13</v>
      </c>
      <c r="F230" s="64"/>
      <c r="G230" s="70">
        <v>13</v>
      </c>
      <c r="H230" s="108"/>
      <c r="Y230" s="27">
        <f t="shared" si="30"/>
        <v>0</v>
      </c>
    </row>
    <row r="231" spans="1:25" ht="14.25">
      <c r="A231" s="24" t="str">
        <f t="shared" si="32"/>
        <v>0 14</v>
      </c>
      <c r="B231" s="76">
        <f t="shared" si="31"/>
        <v>0</v>
      </c>
      <c r="C231" s="70">
        <v>14</v>
      </c>
      <c r="D231" s="62"/>
      <c r="E231" s="70">
        <v>14</v>
      </c>
      <c r="F231" s="64"/>
      <c r="G231" s="70">
        <v>14</v>
      </c>
      <c r="H231" s="229"/>
      <c r="Y231" s="27">
        <f t="shared" si="30"/>
        <v>0</v>
      </c>
    </row>
    <row r="232" spans="1:25" ht="14.25">
      <c r="A232" s="24" t="str">
        <f t="shared" si="32"/>
        <v>0 15</v>
      </c>
      <c r="B232" s="76">
        <f t="shared" si="31"/>
        <v>0</v>
      </c>
      <c r="C232" s="70">
        <v>15</v>
      </c>
      <c r="D232" s="62"/>
      <c r="E232" s="70">
        <v>15</v>
      </c>
      <c r="F232" s="64"/>
      <c r="G232" s="70">
        <v>15</v>
      </c>
      <c r="H232" s="67"/>
      <c r="Y232" s="27">
        <f t="shared" si="30"/>
        <v>0</v>
      </c>
    </row>
    <row r="233" spans="1:25" ht="14.25">
      <c r="A233" s="24" t="str">
        <f t="shared" si="32"/>
        <v>0 16</v>
      </c>
      <c r="B233" s="76">
        <f t="shared" si="31"/>
        <v>0</v>
      </c>
      <c r="C233" s="70">
        <v>16</v>
      </c>
      <c r="D233" s="62"/>
      <c r="E233" s="70">
        <v>16</v>
      </c>
      <c r="F233" s="64"/>
      <c r="G233" s="70">
        <v>16</v>
      </c>
      <c r="H233" s="67"/>
      <c r="Y233" s="27">
        <f t="shared" si="30"/>
        <v>0</v>
      </c>
    </row>
    <row r="234" spans="1:25" ht="14.25">
      <c r="A234" s="24" t="str">
        <f t="shared" si="32"/>
        <v>0 17</v>
      </c>
      <c r="B234" s="76">
        <f t="shared" si="31"/>
        <v>0</v>
      </c>
      <c r="C234" s="70">
        <v>17</v>
      </c>
      <c r="D234" s="62"/>
      <c r="E234" s="70">
        <v>17</v>
      </c>
      <c r="F234" s="64"/>
      <c r="G234" s="70">
        <v>17</v>
      </c>
      <c r="H234" s="67"/>
      <c r="Y234" s="27">
        <f t="shared" si="30"/>
        <v>0</v>
      </c>
    </row>
    <row r="235" spans="1:25" ht="14.25">
      <c r="A235" s="24" t="str">
        <f t="shared" si="32"/>
        <v>0 18</v>
      </c>
      <c r="B235" s="76">
        <f t="shared" si="31"/>
        <v>0</v>
      </c>
      <c r="C235" s="70">
        <v>18</v>
      </c>
      <c r="D235" s="62"/>
      <c r="E235" s="70">
        <v>18</v>
      </c>
      <c r="F235" s="64"/>
      <c r="G235" s="70">
        <v>18</v>
      </c>
      <c r="H235" s="67"/>
      <c r="Y235" s="27">
        <f t="shared" si="30"/>
        <v>0</v>
      </c>
    </row>
    <row r="236" spans="1:25" ht="14.25">
      <c r="A236" s="24" t="str">
        <f t="shared" si="32"/>
        <v>0 19</v>
      </c>
      <c r="B236" s="76">
        <f t="shared" si="31"/>
        <v>0</v>
      </c>
      <c r="C236" s="70">
        <v>19</v>
      </c>
      <c r="D236" s="62"/>
      <c r="E236" s="70">
        <v>19</v>
      </c>
      <c r="F236" s="64"/>
      <c r="G236" s="70">
        <v>19</v>
      </c>
      <c r="H236" s="67"/>
      <c r="Y236" s="27">
        <f t="shared" si="30"/>
        <v>0</v>
      </c>
    </row>
    <row r="237" spans="1:25" ht="14.25">
      <c r="A237" s="24" t="str">
        <f t="shared" si="32"/>
        <v>0 20</v>
      </c>
      <c r="B237" s="76">
        <f t="shared" si="31"/>
        <v>0</v>
      </c>
      <c r="C237" s="70">
        <v>20</v>
      </c>
      <c r="D237" s="62"/>
      <c r="E237" s="70">
        <v>20</v>
      </c>
      <c r="F237" s="64"/>
      <c r="G237" s="70">
        <v>20</v>
      </c>
      <c r="H237" s="67"/>
      <c r="Y237" s="27">
        <f t="shared" si="30"/>
        <v>0</v>
      </c>
    </row>
    <row r="238" spans="1:25" ht="15" customHeight="1">
      <c r="A238" s="24" t="str">
        <f t="shared" si="32"/>
        <v>0 21</v>
      </c>
      <c r="B238" s="76">
        <f t="shared" si="31"/>
        <v>0</v>
      </c>
      <c r="C238" s="65">
        <v>21</v>
      </c>
      <c r="D238" s="62"/>
      <c r="E238" s="66">
        <v>21</v>
      </c>
      <c r="F238" s="64"/>
      <c r="G238" s="70">
        <v>21</v>
      </c>
      <c r="H238" s="67"/>
      <c r="Y238" s="27">
        <f t="shared" si="30"/>
        <v>0</v>
      </c>
    </row>
    <row r="239" spans="11:14" ht="24.75" customHeight="1">
      <c r="K239" s="24"/>
      <c r="N239" s="24"/>
    </row>
    <row r="240" spans="11:14" ht="12.75">
      <c r="K240" s="24"/>
      <c r="N240" s="24"/>
    </row>
    <row r="241" spans="11:14" ht="12.75">
      <c r="K241" s="24"/>
      <c r="N241" s="24"/>
    </row>
    <row r="242" spans="11:14" ht="12.75">
      <c r="K242" s="24"/>
      <c r="N242" s="24"/>
    </row>
    <row r="243" spans="11:14" ht="12.75">
      <c r="K243" s="24"/>
      <c r="N243" s="24"/>
    </row>
    <row r="244" spans="11:14" ht="12.75">
      <c r="K244" s="24"/>
      <c r="N244" s="24"/>
    </row>
    <row r="245" spans="11:14" ht="12.75">
      <c r="K245" s="24"/>
      <c r="N245" s="24"/>
    </row>
    <row r="246" spans="11:14" ht="12.75">
      <c r="K246" s="24"/>
      <c r="N246" s="24"/>
    </row>
    <row r="247" spans="11:14" ht="12.75">
      <c r="K247" s="24"/>
      <c r="N247" s="24"/>
    </row>
    <row r="248" spans="11:14" ht="12.75">
      <c r="K248" s="24"/>
      <c r="N248" s="24"/>
    </row>
    <row r="249" spans="11:14" ht="12.75">
      <c r="K249" s="24"/>
      <c r="N249" s="24"/>
    </row>
    <row r="250" spans="11:14" ht="12.75">
      <c r="K250" s="24"/>
      <c r="N250" s="24"/>
    </row>
  </sheetData>
  <sheetProtection/>
  <autoFilter ref="A2:V238"/>
  <mergeCells count="2">
    <mergeCell ref="P1:V1"/>
    <mergeCell ref="B1:H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landscape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:IV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AO150"/>
  <sheetViews>
    <sheetView zoomScalePageLayoutView="0" workbookViewId="0" topLeftCell="A1">
      <pane ySplit="1" topLeftCell="A2" activePane="bottomLeft" state="frozen"/>
      <selection pane="topLeft" activeCell="B26" sqref="B26"/>
      <selection pane="bottomLeft" activeCell="I9" sqref="I9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  <col min="38" max="38" width="5.00390625" style="0" customWidth="1"/>
    <col min="39" max="39" width="22.00390625" style="0" bestFit="1" customWidth="1"/>
    <col min="40" max="40" width="5.421875" style="0" customWidth="1"/>
  </cols>
  <sheetData>
    <row r="1" spans="11:37" s="11" customFormat="1" ht="25.5">
      <c r="K1" s="3" t="s">
        <v>36</v>
      </c>
      <c r="L1" s="12" t="s">
        <v>47</v>
      </c>
      <c r="M1" s="3" t="s">
        <v>49</v>
      </c>
      <c r="N1" s="3" t="s">
        <v>50</v>
      </c>
      <c r="O1" s="3" t="s">
        <v>35</v>
      </c>
      <c r="P1" s="3" t="s">
        <v>48</v>
      </c>
      <c r="Q1" s="337" t="s">
        <v>52</v>
      </c>
      <c r="R1" s="337"/>
      <c r="V1" s="4" t="s">
        <v>19</v>
      </c>
      <c r="Z1" s="11" t="s">
        <v>51</v>
      </c>
      <c r="AE1" s="11" t="s">
        <v>109</v>
      </c>
      <c r="AG1" s="11" t="s">
        <v>110</v>
      </c>
      <c r="AK1" s="11" t="s">
        <v>61</v>
      </c>
    </row>
    <row r="2" spans="1:41" ht="12.75">
      <c r="A2">
        <v>13</v>
      </c>
      <c r="B2">
        <v>9</v>
      </c>
      <c r="C2">
        <v>9</v>
      </c>
      <c r="D2">
        <v>13</v>
      </c>
      <c r="F2">
        <v>4</v>
      </c>
      <c r="H2">
        <v>2</v>
      </c>
      <c r="I2">
        <v>8</v>
      </c>
      <c r="K2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1</v>
      </c>
      <c r="R2" t="b">
        <v>0</v>
      </c>
      <c r="U2" s="5">
        <v>1</v>
      </c>
      <c r="V2" s="8" t="str">
        <f>'MANNSCHAFTEN+SPIELER'!B4</f>
        <v>SG Stern Putzer II</v>
      </c>
      <c r="Z2">
        <f>IF(I16,VLOOKUP(übertrag!I16,Heimü,2,),"")</f>
        <v>0</v>
      </c>
      <c r="AE2">
        <v>1</v>
      </c>
      <c r="AK2">
        <v>2</v>
      </c>
      <c r="AM2" s="110" t="s">
        <v>620</v>
      </c>
      <c r="AN2">
        <v>1</v>
      </c>
      <c r="AO2">
        <f>IF($AK$2=1,AM2,"")</f>
      </c>
    </row>
    <row r="3" spans="1:41" ht="12.75">
      <c r="A3">
        <v>13</v>
      </c>
      <c r="B3">
        <v>1</v>
      </c>
      <c r="D3">
        <v>13</v>
      </c>
      <c r="I3">
        <v>2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5">
        <v>2</v>
      </c>
      <c r="V3" s="8">
        <f>'MANNSCHAFTEN+SPIELER'!B26</f>
        <v>0</v>
      </c>
      <c r="Z3">
        <f>IF(I17,VLOOKUP(übertrag!I17,Heimü,2,),"")</f>
        <v>0</v>
      </c>
      <c r="AE3">
        <v>2</v>
      </c>
      <c r="AG3">
        <v>2</v>
      </c>
      <c r="AH3">
        <v>1</v>
      </c>
      <c r="AI3" t="s">
        <v>111</v>
      </c>
      <c r="AJ3" t="s">
        <v>112</v>
      </c>
      <c r="AN3">
        <v>2</v>
      </c>
      <c r="AO3">
        <f>IF($AK$2=2,AM3,"")</f>
        <v>0</v>
      </c>
    </row>
    <row r="4" spans="1:41" ht="12.75">
      <c r="A4">
        <v>13</v>
      </c>
      <c r="B4">
        <v>9</v>
      </c>
      <c r="C4">
        <v>9</v>
      </c>
      <c r="D4">
        <v>13</v>
      </c>
      <c r="I4">
        <v>3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5">
        <v>3</v>
      </c>
      <c r="V4" s="8" t="str">
        <f>'MANNSCHAFTEN+SPIELER'!B48</f>
        <v>SG Stern Putzer I</v>
      </c>
      <c r="Z4">
        <f>IF(I18,VLOOKUP(übertrag!I18,Heimü,2,),"")</f>
        <v>0</v>
      </c>
      <c r="AE4">
        <v>3</v>
      </c>
      <c r="AH4">
        <v>2</v>
      </c>
      <c r="AI4" t="s">
        <v>560</v>
      </c>
      <c r="AJ4" t="s">
        <v>561</v>
      </c>
      <c r="AM4" s="110" t="s">
        <v>626</v>
      </c>
      <c r="AN4">
        <v>3</v>
      </c>
      <c r="AO4">
        <f>IF($AK$2=3,AM4,"")</f>
      </c>
    </row>
    <row r="5" spans="1:41" ht="12.75">
      <c r="A5">
        <v>13</v>
      </c>
      <c r="B5">
        <v>1</v>
      </c>
      <c r="D5">
        <v>13</v>
      </c>
      <c r="I5">
        <v>4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s="77" t="b">
        <v>0</v>
      </c>
      <c r="U5" s="5">
        <v>4</v>
      </c>
      <c r="V5" s="8" t="str">
        <f>'MANNSCHAFTEN+SPIELER'!B69</f>
        <v>Voll Druff Kirrlach II</v>
      </c>
      <c r="Z5">
        <f>IF(I19,VLOOKUP(übertrag!I19,Heimü,2,),"")</f>
        <v>0</v>
      </c>
      <c r="AE5">
        <v>4</v>
      </c>
      <c r="AH5">
        <v>3</v>
      </c>
      <c r="AI5" t="s">
        <v>560</v>
      </c>
      <c r="AJ5" t="s">
        <v>562</v>
      </c>
      <c r="AM5" t="s">
        <v>605</v>
      </c>
      <c r="AN5">
        <v>4</v>
      </c>
      <c r="AO5">
        <f>IF($AK$2=4,AM5,"")</f>
      </c>
    </row>
    <row r="6" spans="1:41" ht="12.75">
      <c r="A6">
        <v>13</v>
      </c>
      <c r="B6">
        <v>9</v>
      </c>
      <c r="C6">
        <v>9</v>
      </c>
      <c r="D6">
        <v>13</v>
      </c>
      <c r="I6">
        <v>5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s="77" t="b">
        <v>0</v>
      </c>
      <c r="U6" s="5">
        <v>5</v>
      </c>
      <c r="V6" s="8" t="str">
        <f>'MANNSCHAFTEN+SPIELER'!B91</f>
        <v>Los Ninos Eppelheim</v>
      </c>
      <c r="Z6">
        <f>IF(I20,VLOOKUP(übertrag!I20,Heimü,2,),"")</f>
        <v>0</v>
      </c>
      <c r="AE6">
        <v>5</v>
      </c>
      <c r="AH6">
        <v>4</v>
      </c>
      <c r="AI6" t="s">
        <v>168</v>
      </c>
      <c r="AJ6" t="s">
        <v>167</v>
      </c>
      <c r="AM6" t="s">
        <v>608</v>
      </c>
      <c r="AN6">
        <v>5</v>
      </c>
      <c r="AO6">
        <f>IF($AK$2=5,AM6,"")</f>
      </c>
    </row>
    <row r="7" spans="1:41" ht="12.75">
      <c r="A7">
        <v>13</v>
      </c>
      <c r="B7">
        <v>1</v>
      </c>
      <c r="D7">
        <v>13</v>
      </c>
      <c r="I7">
        <v>6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s="77" t="b">
        <v>0</v>
      </c>
      <c r="U7" s="5">
        <v>6</v>
      </c>
      <c r="V7" s="8" t="str">
        <f>'MANNSCHAFTEN+SPIELER'!B112</f>
        <v>Hau Druff Worms</v>
      </c>
      <c r="Z7">
        <f>IF(I21,VLOOKUP(übertrag!I21,Heimü,2,),"")</f>
        <v>0</v>
      </c>
      <c r="AE7">
        <v>6</v>
      </c>
      <c r="AH7">
        <v>5</v>
      </c>
      <c r="AI7" t="s">
        <v>199</v>
      </c>
      <c r="AJ7" t="s">
        <v>200</v>
      </c>
      <c r="AM7" t="s">
        <v>607</v>
      </c>
      <c r="AN7">
        <v>6</v>
      </c>
      <c r="AO7">
        <f>IF($AK$2=6,AM7,"")</f>
      </c>
    </row>
    <row r="8" spans="1:41" ht="12.75">
      <c r="A8">
        <v>13</v>
      </c>
      <c r="B8">
        <v>9</v>
      </c>
      <c r="C8">
        <v>9</v>
      </c>
      <c r="D8">
        <v>13</v>
      </c>
      <c r="I8">
        <v>7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s="77" t="b">
        <v>0</v>
      </c>
      <c r="R8" t="b">
        <v>1</v>
      </c>
      <c r="U8" s="5">
        <v>7</v>
      </c>
      <c r="V8" s="8">
        <f>'MANNSCHAFTEN+SPIELER'!B133</f>
        <v>0</v>
      </c>
      <c r="Z8">
        <f>IF(I22,VLOOKUP(übertrag!I22,Heimü,2,),"")</f>
        <v>0</v>
      </c>
      <c r="AE8">
        <v>7</v>
      </c>
      <c r="AI8" s="198" t="str">
        <f>IF(AG3=1,AI3,IF(AG3=2,AI4,IF(AG3=3,AI5,(IF(AG3=4,AI6,AI7)))))</f>
        <v>Eppelheim</v>
      </c>
      <c r="AJ8" s="198" t="str">
        <f>IF(AG3=1,AJ3,IF(AG3=2,AJ4,IF(AG3=3,AJ5,(IF(AG3=4,AJ6,AJ7)))))</f>
        <v>Classic Arena</v>
      </c>
      <c r="AK8" s="198"/>
      <c r="AN8">
        <v>7</v>
      </c>
      <c r="AO8">
        <f>IF($AK$2=7,AM8,"")</f>
      </c>
    </row>
    <row r="9" spans="9:41" ht="12.75">
      <c r="I9">
        <v>9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R9" t="b">
        <v>0</v>
      </c>
      <c r="U9" s="5">
        <v>8</v>
      </c>
      <c r="V9" s="8" t="str">
        <f>'MANNSCHAFTEN+SPIELER'!B154</f>
        <v>Voll Druff Kirrlach I</v>
      </c>
      <c r="Z9">
        <f>IF(I23,VLOOKUP(übertrag!I23,Heimü,2,),"")</f>
        <v>0</v>
      </c>
      <c r="AE9">
        <v>8</v>
      </c>
      <c r="AM9" t="s">
        <v>606</v>
      </c>
      <c r="AN9">
        <v>8</v>
      </c>
      <c r="AO9">
        <f>IF($AK$2=8,AM9,"")</f>
      </c>
    </row>
    <row r="10" spans="2:41" ht="12.75">
      <c r="B10">
        <v>9</v>
      </c>
      <c r="C10">
        <v>9</v>
      </c>
      <c r="I10">
        <v>11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5">
        <v>9</v>
      </c>
      <c r="V10" s="8" t="str">
        <f>'MANNSCHAFTEN+SPIELER'!B176</f>
        <v>Familienbande</v>
      </c>
      <c r="Z10">
        <f>IF(I24,VLOOKUP(übertrag!I24,Heimü,2,),"")</f>
        <v>0</v>
      </c>
      <c r="AE10">
        <v>9</v>
      </c>
      <c r="AM10" t="s">
        <v>609</v>
      </c>
      <c r="AN10">
        <v>9</v>
      </c>
      <c r="AO10">
        <f>IF($AK$2=9,AM10,"")</f>
      </c>
    </row>
    <row r="11" spans="9:4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U11" s="5">
        <v>10</v>
      </c>
      <c r="V11" s="8" t="str">
        <f>'MANNSCHAFTEN+SPIELER'!B197</f>
        <v>TV Rheinau</v>
      </c>
      <c r="Z11">
        <f>IF(I25,VLOOKUP(übertrag!I25,Heimü,2,),"")</f>
        <v>0</v>
      </c>
      <c r="AE11">
        <v>10</v>
      </c>
      <c r="AM11" t="s">
        <v>163</v>
      </c>
      <c r="AN11">
        <v>10</v>
      </c>
      <c r="AO11">
        <f>IF($AK$2=10,AM11,"")</f>
      </c>
    </row>
    <row r="12" spans="9:41" ht="12.75">
      <c r="I12">
        <v>10</v>
      </c>
      <c r="U12" s="5">
        <v>11</v>
      </c>
      <c r="V12" s="9">
        <f>'MANNSCHAFTEN+SPIELER'!B218</f>
        <v>0</v>
      </c>
      <c r="Z12">
        <f>IF(I26,VLOOKUP(übertrag!I26,Heimü,2,),"")</f>
      </c>
      <c r="AE12">
        <v>11</v>
      </c>
      <c r="AN12">
        <v>11</v>
      </c>
      <c r="AO12">
        <f>IF($AK$2=11,AM12,"")</f>
      </c>
    </row>
    <row r="13" spans="9:41" ht="12.75">
      <c r="I13">
        <v>10</v>
      </c>
      <c r="U13" s="5">
        <v>12</v>
      </c>
      <c r="Z13">
        <f>IF(I27,VLOOKUP(übertrag!I27,Heimü,2,),"")</f>
      </c>
      <c r="AE13">
        <v>12</v>
      </c>
      <c r="AO13">
        <f>IF($AK$2=10,AM13,"")</f>
      </c>
    </row>
    <row r="14" spans="9:31" ht="12.75">
      <c r="I14">
        <v>10</v>
      </c>
      <c r="U14" s="5">
        <v>13</v>
      </c>
      <c r="V14" s="6"/>
      <c r="AE14">
        <v>13</v>
      </c>
    </row>
    <row r="15" spans="21:41" ht="12.75">
      <c r="U15" s="5">
        <v>14</v>
      </c>
      <c r="AE15">
        <v>14</v>
      </c>
      <c r="AM15">
        <f>IF(AK2=1,AM2,IF(AK2=2,AM3,IF(AK2=3,AM4,IF(AK2=4,AM5,IF(AK2=5,AM6,IF(AK2=6,AM7,IF(AK2=7,AM8,IF(AK2=8,AM9,""))))))))</f>
        <v>0</v>
      </c>
      <c r="AO15">
        <f>IF(AM15="",AM16,AM15)</f>
        <v>0</v>
      </c>
    </row>
    <row r="16" spans="9:39" ht="12.75">
      <c r="I16">
        <v>8</v>
      </c>
      <c r="K16">
        <f>IF(I16,VLOOKUP(übertrag!I16,paßheim,2,),"")</f>
        <v>0</v>
      </c>
      <c r="M16" s="38">
        <f>IF(I16,VLOOKUP(übertrag!I16,jhgheim,2,),"")</f>
        <v>0</v>
      </c>
      <c r="O16">
        <f>IF(übertrag!I16,VLOOKUP(übertrag!I16,paßheim,2,),"")</f>
        <v>0</v>
      </c>
      <c r="Q16" t="b">
        <v>1</v>
      </c>
      <c r="AE16">
        <v>15</v>
      </c>
      <c r="AM16">
        <f>IF(AK2=9,AM10,IF(AK2=10,AM11,IF(AK2=11,AM12,"")))</f>
      </c>
    </row>
    <row r="17" spans="2:31" ht="12.75">
      <c r="B17">
        <v>9</v>
      </c>
      <c r="C17">
        <v>9</v>
      </c>
      <c r="I17">
        <v>2</v>
      </c>
      <c r="K17">
        <f>IF(I17,VLOOKUP(übertrag!I17,paßheim,2,),"")</f>
        <v>0</v>
      </c>
      <c r="M17" s="38">
        <f>IF(I17,VLOOKUP(übertrag!I17,jhgheim,2,),"")</f>
        <v>0</v>
      </c>
      <c r="O17">
        <f>IF(übertrag!I17,VLOOKUP(übertrag!I17,paßheim,2,),"")</f>
        <v>0</v>
      </c>
      <c r="Q17" t="b">
        <v>1</v>
      </c>
      <c r="Z17">
        <f>IF(I26,VLOOKUP(übertrag!I26,Heimü,2,),"")</f>
      </c>
      <c r="AE17">
        <v>16</v>
      </c>
    </row>
    <row r="18" spans="2:31" ht="12.75">
      <c r="B18">
        <v>1</v>
      </c>
      <c r="I18">
        <v>3</v>
      </c>
      <c r="K18">
        <f>IF(I18,VLOOKUP(übertrag!I18,paßheim,2,),"")</f>
        <v>0</v>
      </c>
      <c r="M18" s="38">
        <f>IF(I18,VLOOKUP(übertrag!I18,jhgheim,2,),"")</f>
        <v>0</v>
      </c>
      <c r="O18">
        <f>IF(übertrag!I18,VLOOKUP(übertrag!I18,paßheim,2,),"")</f>
        <v>0</v>
      </c>
      <c r="Q18" t="b">
        <v>1</v>
      </c>
      <c r="Z18">
        <f>IF(I27,VLOOKUP(übertrag!I27,Heimü,2,),"")</f>
      </c>
      <c r="AE18">
        <v>17</v>
      </c>
    </row>
    <row r="19" spans="2:31" ht="12.75">
      <c r="B19">
        <v>9</v>
      </c>
      <c r="C19">
        <v>9</v>
      </c>
      <c r="I19">
        <v>4</v>
      </c>
      <c r="K19">
        <f>IF(I19,VLOOKUP(übertrag!I19,paßheim,2,),"")</f>
        <v>0</v>
      </c>
      <c r="M19" s="38">
        <f>IF(I19,VLOOKUP(übertrag!I19,jhgheim,2,),"")</f>
        <v>0</v>
      </c>
      <c r="O19">
        <f>IF(übertrag!I19,VLOOKUP(übertrag!I19,paßheim,2,),"")</f>
        <v>0</v>
      </c>
      <c r="Q19" t="b">
        <v>1</v>
      </c>
      <c r="AE19">
        <v>18</v>
      </c>
    </row>
    <row r="20" spans="9:31" ht="12.75">
      <c r="I20">
        <v>5</v>
      </c>
      <c r="K20">
        <f>IF(I20,VLOOKUP(übertrag!I20,paßheim,2,),"")</f>
        <v>0</v>
      </c>
      <c r="M20" s="38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6</v>
      </c>
      <c r="K21">
        <f>IF(I21,VLOOKUP(übertrag!I21,paßheim,2,),"")</f>
        <v>0</v>
      </c>
      <c r="M21" s="38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7</v>
      </c>
      <c r="K22">
        <f>IF(I22,VLOOKUP(übertrag!I22,paßheim,2,),"")</f>
        <v>0</v>
      </c>
      <c r="M22" s="38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8</v>
      </c>
      <c r="K23">
        <f>IF(I23,VLOOKUP(übertrag!I23,paßheim,2,),"")</f>
        <v>0</v>
      </c>
      <c r="M23" s="38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2.75">
      <c r="I24">
        <v>9</v>
      </c>
      <c r="K24">
        <f>IF(I24,VLOOKUP(übertrag!I24,paßheim,2,),"")</f>
        <v>0</v>
      </c>
      <c r="M24" s="38">
        <f>IF(I24,VLOOKUP(übertrag!I24,jhgheim,2,),"")</f>
        <v>0</v>
      </c>
      <c r="O24">
        <f>IF(übertrag!I24,VLOOKUP(übertrag!I24,paßheim,2,),"")</f>
        <v>0</v>
      </c>
      <c r="Q24" t="b">
        <v>0</v>
      </c>
      <c r="AE24">
        <v>23</v>
      </c>
    </row>
    <row r="25" spans="9:31" ht="12.75">
      <c r="I25">
        <v>11</v>
      </c>
      <c r="K25">
        <f>IF(I25,VLOOKUP(übertrag!I25,paßheim,2,),"")</f>
        <v>0</v>
      </c>
      <c r="M25" s="38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24</v>
      </c>
    </row>
    <row r="26" spans="17:31" ht="12.75">
      <c r="Q26" t="b">
        <v>0</v>
      </c>
      <c r="AE26">
        <v>25</v>
      </c>
    </row>
    <row r="27" spans="17:31" ht="12.75">
      <c r="Q27" s="77" t="b">
        <v>1</v>
      </c>
      <c r="AE27">
        <v>26</v>
      </c>
    </row>
    <row r="28" spans="17:31" ht="12.75">
      <c r="Q28" s="77" t="b">
        <v>0</v>
      </c>
      <c r="AE28">
        <v>27</v>
      </c>
    </row>
    <row r="29" spans="17:31" ht="12.75">
      <c r="Q29" s="77" t="b">
        <v>1</v>
      </c>
      <c r="AE29">
        <v>28</v>
      </c>
    </row>
    <row r="30" spans="9:31" ht="12.75">
      <c r="I30">
        <v>1</v>
      </c>
      <c r="Q30" s="77" t="b">
        <v>0</v>
      </c>
      <c r="AE30">
        <v>29</v>
      </c>
    </row>
    <row r="31" spans="17:31" ht="12.75">
      <c r="Q31" t="b">
        <v>0</v>
      </c>
      <c r="AE31">
        <v>30</v>
      </c>
    </row>
    <row r="32" spans="17:31" ht="12.75">
      <c r="Q32" t="b">
        <v>0</v>
      </c>
      <c r="AE32">
        <v>31</v>
      </c>
    </row>
    <row r="33" spans="17:31" ht="12.75">
      <c r="Q33" t="b">
        <v>0</v>
      </c>
      <c r="AE33">
        <v>32</v>
      </c>
    </row>
    <row r="34" ht="12.75">
      <c r="AE34">
        <v>33</v>
      </c>
    </row>
    <row r="35" ht="12.75">
      <c r="AE35">
        <v>34</v>
      </c>
    </row>
    <row r="36" ht="12.75">
      <c r="AE36">
        <v>35</v>
      </c>
    </row>
    <row r="37" ht="12.75">
      <c r="AE37">
        <v>36</v>
      </c>
    </row>
    <row r="38" ht="12.75">
      <c r="AE38">
        <v>37</v>
      </c>
    </row>
    <row r="39" ht="12.75">
      <c r="AE39">
        <v>38</v>
      </c>
    </row>
    <row r="40" ht="12.75">
      <c r="AE40">
        <v>39</v>
      </c>
    </row>
    <row r="41" ht="12.75">
      <c r="AE41">
        <v>40</v>
      </c>
    </row>
    <row r="42" ht="12.75">
      <c r="AE42">
        <v>41</v>
      </c>
    </row>
    <row r="43" ht="12.75">
      <c r="AE43">
        <v>42</v>
      </c>
    </row>
    <row r="44" ht="12.75">
      <c r="AE44">
        <v>43</v>
      </c>
    </row>
    <row r="45" ht="12.75">
      <c r="AE45">
        <v>44</v>
      </c>
    </row>
    <row r="46" ht="12.75">
      <c r="AE46">
        <v>45</v>
      </c>
    </row>
    <row r="47" ht="12.75">
      <c r="AE47">
        <v>46</v>
      </c>
    </row>
    <row r="48" ht="12.75">
      <c r="AE48">
        <v>47</v>
      </c>
    </row>
    <row r="49" ht="12.75">
      <c r="AE49">
        <v>48</v>
      </c>
    </row>
    <row r="50" ht="12.75">
      <c r="AE50">
        <v>49</v>
      </c>
    </row>
    <row r="51" ht="12.75">
      <c r="AE51">
        <v>50</v>
      </c>
    </row>
    <row r="52" ht="12.75">
      <c r="AE52">
        <v>51</v>
      </c>
    </row>
    <row r="53" ht="12.75">
      <c r="AE53">
        <v>52</v>
      </c>
    </row>
    <row r="54" ht="12.75">
      <c r="AE54">
        <v>53</v>
      </c>
    </row>
    <row r="55" ht="12.75">
      <c r="AE55">
        <v>54</v>
      </c>
    </row>
    <row r="56" ht="12.75">
      <c r="AE56">
        <v>55</v>
      </c>
    </row>
    <row r="57" ht="12.75">
      <c r="AE57">
        <v>56</v>
      </c>
    </row>
    <row r="58" ht="12.75">
      <c r="AE58">
        <v>57</v>
      </c>
    </row>
    <row r="59" ht="12.75">
      <c r="AE59">
        <v>58</v>
      </c>
    </row>
    <row r="60" ht="12.75">
      <c r="AE60">
        <v>59</v>
      </c>
    </row>
    <row r="61" ht="12.75">
      <c r="AE61">
        <v>60</v>
      </c>
    </row>
    <row r="62" ht="12.75">
      <c r="AE62">
        <v>61</v>
      </c>
    </row>
    <row r="63" ht="12.75">
      <c r="AE63">
        <v>62</v>
      </c>
    </row>
    <row r="64" ht="12.75">
      <c r="AE64">
        <v>63</v>
      </c>
    </row>
    <row r="65" ht="12.75">
      <c r="AE65">
        <v>64</v>
      </c>
    </row>
    <row r="66" ht="12.75">
      <c r="AE66">
        <v>65</v>
      </c>
    </row>
    <row r="67" ht="12.75">
      <c r="AE67">
        <v>66</v>
      </c>
    </row>
    <row r="68" ht="12.75">
      <c r="AE68">
        <v>67</v>
      </c>
    </row>
    <row r="69" ht="12.75">
      <c r="AE69">
        <v>68</v>
      </c>
    </row>
    <row r="70" ht="12.75">
      <c r="AE70">
        <v>69</v>
      </c>
    </row>
    <row r="71" ht="12.75">
      <c r="AE71">
        <v>70</v>
      </c>
    </row>
    <row r="72" ht="12.75">
      <c r="AE72">
        <v>71</v>
      </c>
    </row>
    <row r="73" ht="12.75">
      <c r="AE73">
        <v>72</v>
      </c>
    </row>
    <row r="74" ht="12.75">
      <c r="AE74">
        <v>73</v>
      </c>
    </row>
    <row r="75" ht="12.75">
      <c r="AE75">
        <v>74</v>
      </c>
    </row>
    <row r="76" ht="12.75">
      <c r="AE76">
        <v>75</v>
      </c>
    </row>
    <row r="77" ht="12.75">
      <c r="AE77">
        <v>76</v>
      </c>
    </row>
    <row r="78" ht="12.75">
      <c r="AE78">
        <v>77</v>
      </c>
    </row>
    <row r="79" ht="12.75">
      <c r="AE79">
        <v>78</v>
      </c>
    </row>
    <row r="80" ht="12.75">
      <c r="AE80">
        <v>79</v>
      </c>
    </row>
    <row r="81" ht="12.75">
      <c r="AE81">
        <v>80</v>
      </c>
    </row>
    <row r="82" ht="12.75">
      <c r="AE82">
        <v>81</v>
      </c>
    </row>
    <row r="83" ht="12.75">
      <c r="AE83">
        <v>82</v>
      </c>
    </row>
    <row r="84" ht="12.75">
      <c r="AE84">
        <v>83</v>
      </c>
    </row>
    <row r="85" ht="12.75">
      <c r="AE85">
        <v>84</v>
      </c>
    </row>
    <row r="86" ht="12.75">
      <c r="AE86">
        <v>85</v>
      </c>
    </row>
    <row r="87" ht="12.75">
      <c r="AE87">
        <v>86</v>
      </c>
    </row>
    <row r="88" ht="12.75">
      <c r="AE88">
        <v>87</v>
      </c>
    </row>
    <row r="89" ht="12.75">
      <c r="AE89">
        <v>88</v>
      </c>
    </row>
    <row r="90" ht="12.75">
      <c r="AE90">
        <v>89</v>
      </c>
    </row>
    <row r="91" ht="12.75">
      <c r="AE91">
        <v>90</v>
      </c>
    </row>
    <row r="92" ht="12.75">
      <c r="AE92">
        <v>91</v>
      </c>
    </row>
    <row r="93" ht="12.75">
      <c r="AE93">
        <v>92</v>
      </c>
    </row>
    <row r="94" ht="12.75">
      <c r="AE94">
        <v>93</v>
      </c>
    </row>
    <row r="95" ht="12.75">
      <c r="AE95">
        <v>94</v>
      </c>
    </row>
    <row r="96" ht="12.75">
      <c r="AE96">
        <v>95</v>
      </c>
    </row>
    <row r="97" ht="12.75">
      <c r="AE97">
        <v>96</v>
      </c>
    </row>
    <row r="98" ht="12.75">
      <c r="AE98">
        <v>97</v>
      </c>
    </row>
    <row r="99" ht="12.75">
      <c r="AE99">
        <v>98</v>
      </c>
    </row>
    <row r="100" ht="12.75">
      <c r="AE100">
        <v>99</v>
      </c>
    </row>
    <row r="101" ht="12.75">
      <c r="AE101">
        <v>100</v>
      </c>
    </row>
    <row r="102" ht="12.75">
      <c r="AE102">
        <v>101</v>
      </c>
    </row>
    <row r="103" ht="12.75">
      <c r="AE103">
        <v>102</v>
      </c>
    </row>
    <row r="104" ht="12.75">
      <c r="AE104">
        <v>103</v>
      </c>
    </row>
    <row r="105" ht="12.75">
      <c r="AE105">
        <v>104</v>
      </c>
    </row>
    <row r="106" ht="12.75">
      <c r="AE106">
        <v>105</v>
      </c>
    </row>
    <row r="107" ht="12.75">
      <c r="AE107">
        <v>106</v>
      </c>
    </row>
    <row r="108" ht="12.75">
      <c r="AE108">
        <v>107</v>
      </c>
    </row>
    <row r="109" ht="12.75">
      <c r="AE109">
        <v>108</v>
      </c>
    </row>
    <row r="110" ht="12.75">
      <c r="AE110">
        <v>109</v>
      </c>
    </row>
    <row r="111" ht="12.75">
      <c r="AE111">
        <v>110</v>
      </c>
    </row>
    <row r="112" ht="12.75">
      <c r="AE112">
        <v>111</v>
      </c>
    </row>
    <row r="113" ht="12.75">
      <c r="AE113">
        <v>112</v>
      </c>
    </row>
    <row r="114" ht="12.75">
      <c r="AE114">
        <v>113</v>
      </c>
    </row>
    <row r="115" ht="12.75">
      <c r="AE115">
        <v>114</v>
      </c>
    </row>
    <row r="116" ht="12.75">
      <c r="AE116">
        <v>115</v>
      </c>
    </row>
    <row r="117" spans="7:31" ht="12.75">
      <c r="G117" s="60" t="s">
        <v>62</v>
      </c>
      <c r="AE117">
        <v>116</v>
      </c>
    </row>
    <row r="118" ht="12.75">
      <c r="AE118">
        <v>117</v>
      </c>
    </row>
    <row r="119" ht="12.75">
      <c r="AE119">
        <v>118</v>
      </c>
    </row>
    <row r="120" ht="12.75">
      <c r="AE120">
        <v>119</v>
      </c>
    </row>
    <row r="121" ht="12.75">
      <c r="AE121">
        <v>120</v>
      </c>
    </row>
    <row r="122" ht="12.75">
      <c r="AE122">
        <v>121</v>
      </c>
    </row>
    <row r="123" ht="12.75">
      <c r="AE123">
        <v>122</v>
      </c>
    </row>
    <row r="124" ht="12.75">
      <c r="AE124">
        <v>123</v>
      </c>
    </row>
    <row r="125" ht="12.75">
      <c r="AE125">
        <v>124</v>
      </c>
    </row>
    <row r="126" ht="12.75">
      <c r="AE126">
        <v>125</v>
      </c>
    </row>
    <row r="127" ht="12.75">
      <c r="AE127">
        <v>126</v>
      </c>
    </row>
    <row r="128" ht="12.75">
      <c r="AE128">
        <v>127</v>
      </c>
    </row>
    <row r="129" ht="12.75">
      <c r="AE129">
        <v>128</v>
      </c>
    </row>
    <row r="130" ht="12.75">
      <c r="AE130">
        <v>129</v>
      </c>
    </row>
    <row r="131" ht="12.75">
      <c r="AE131">
        <v>130</v>
      </c>
    </row>
    <row r="132" ht="12.75">
      <c r="AE132">
        <v>131</v>
      </c>
    </row>
    <row r="133" ht="12.75">
      <c r="AE133">
        <v>132</v>
      </c>
    </row>
    <row r="134" ht="12.75">
      <c r="AE134">
        <v>133</v>
      </c>
    </row>
    <row r="135" ht="12.75">
      <c r="AE135">
        <v>134</v>
      </c>
    </row>
    <row r="136" ht="12.75">
      <c r="AE136">
        <v>135</v>
      </c>
    </row>
    <row r="137" ht="12.75">
      <c r="AE137">
        <v>136</v>
      </c>
    </row>
    <row r="138" ht="12.75">
      <c r="AE138">
        <v>137</v>
      </c>
    </row>
    <row r="139" ht="12.75">
      <c r="AE139">
        <v>138</v>
      </c>
    </row>
    <row r="140" ht="12.75">
      <c r="AE140">
        <v>139</v>
      </c>
    </row>
    <row r="141" ht="12.75">
      <c r="AE141">
        <v>140</v>
      </c>
    </row>
    <row r="142" ht="12.75">
      <c r="AE142">
        <v>141</v>
      </c>
    </row>
    <row r="143" ht="12.75">
      <c r="AE143">
        <v>142</v>
      </c>
    </row>
    <row r="144" ht="12.75">
      <c r="AE144">
        <v>143</v>
      </c>
    </row>
    <row r="145" ht="12.75">
      <c r="AE145">
        <v>144</v>
      </c>
    </row>
    <row r="146" ht="12.75">
      <c r="AE146">
        <v>145</v>
      </c>
    </row>
    <row r="150" ht="12.75">
      <c r="AE150">
        <v>9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Bauer</dc:creator>
  <cp:keywords>Makro</cp:keywords>
  <dc:description/>
  <cp:lastModifiedBy>Andreas</cp:lastModifiedBy>
  <cp:lastPrinted>2012-09-02T15:04:45Z</cp:lastPrinted>
  <dcterms:created xsi:type="dcterms:W3CDTF">1998-03-09T21:09:14Z</dcterms:created>
  <dcterms:modified xsi:type="dcterms:W3CDTF">2022-11-27T08:57:06Z</dcterms:modified>
  <cp:category/>
  <cp:version/>
  <cp:contentType/>
  <cp:contentStatus/>
</cp:coreProperties>
</file>